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50" i="68" l="1"/>
  <c r="B29" i="1"/>
  <c r="J13" i="78"/>
  <c r="J4" i="78"/>
  <c r="D4" i="78"/>
  <c r="J14" i="78"/>
  <c r="B35" i="1"/>
  <c r="C27" i="78"/>
  <c r="AY6" i="3"/>
  <c r="D3" i="6"/>
  <c r="D30" i="78"/>
  <c r="E30" i="78"/>
  <c r="C23" i="78"/>
  <c r="C22" i="78"/>
  <c r="C21" i="78"/>
  <c r="C24" i="78"/>
  <c r="B2" i="49"/>
  <c r="B11" i="49"/>
  <c r="E4" i="4"/>
  <c r="B5" i="62"/>
  <c r="B8" i="49"/>
  <c r="C4" i="4"/>
  <c r="B4" i="62"/>
  <c r="D5" i="73"/>
  <c r="K1" i="73"/>
  <c r="D4" i="73"/>
  <c r="G1" i="73"/>
  <c r="B40" i="1"/>
  <c r="F22" i="68"/>
  <c r="C19" i="68"/>
  <c r="C24" i="68"/>
  <c r="F27" i="68"/>
  <c r="C26" i="68"/>
  <c r="D22" i="68"/>
  <c r="C29" i="68"/>
  <c r="D27" i="68"/>
  <c r="F34" i="68"/>
  <c r="K6" i="1"/>
  <c r="M6" i="1"/>
  <c r="BQ13" i="3"/>
  <c r="BQ14" i="3"/>
  <c r="BQ15" i="3"/>
  <c r="BQ16" i="3"/>
  <c r="BQ17" i="3"/>
  <c r="BQ18" i="3"/>
  <c r="BQ19" i="3"/>
  <c r="BQ20" i="3"/>
  <c r="BQ21" i="3"/>
  <c r="BQ22" i="3"/>
  <c r="BQ23" i="3"/>
  <c r="BQ5" i="3"/>
  <c r="F28" i="6"/>
  <c r="BR13" i="3"/>
  <c r="BR14" i="3"/>
  <c r="BR15" i="3"/>
  <c r="BR16" i="3"/>
  <c r="BR17" i="3"/>
  <c r="BR18" i="3"/>
  <c r="BR19" i="3"/>
  <c r="BR20" i="3"/>
  <c r="BR21" i="3"/>
  <c r="BR22" i="3"/>
  <c r="BR5" i="3"/>
  <c r="G28" i="6"/>
  <c r="E28" i="6"/>
  <c r="K19" i="6"/>
  <c r="S6" i="1"/>
  <c r="L14" i="1"/>
  <c r="T6" i="1"/>
  <c r="C34" i="68"/>
  <c r="C35" i="68"/>
  <c r="C36" i="68"/>
  <c r="D9" i="68"/>
  <c r="D10" i="68"/>
  <c r="D19" i="68"/>
  <c r="D37" i="68"/>
  <c r="E37" i="68"/>
  <c r="C37" i="68"/>
  <c r="C38" i="68"/>
  <c r="C33" i="68"/>
  <c r="C39" i="68"/>
  <c r="C42" i="68"/>
  <c r="C43" i="68"/>
  <c r="C41" i="68"/>
  <c r="C46" i="68"/>
  <c r="C45" i="68"/>
  <c r="C44" i="68"/>
  <c r="D41" i="68"/>
  <c r="C47" i="68"/>
  <c r="D45" i="68"/>
  <c r="B43" i="1"/>
  <c r="B41" i="1"/>
  <c r="F30" i="68"/>
  <c r="C42" i="1"/>
  <c r="C48" i="68"/>
  <c r="C49" i="68"/>
  <c r="K7" i="1"/>
  <c r="M7" i="1"/>
  <c r="K8" i="1"/>
  <c r="M8" i="1"/>
  <c r="K9" i="1"/>
  <c r="M9" i="1"/>
  <c r="K10" i="1"/>
  <c r="M10" i="1"/>
  <c r="K11" i="1"/>
  <c r="M11" i="1"/>
  <c r="K12" i="1"/>
  <c r="M12" i="1"/>
  <c r="K13" i="1"/>
  <c r="M13" i="1"/>
  <c r="K14" i="1"/>
  <c r="M14" i="1"/>
  <c r="M16" i="1"/>
  <c r="N6" i="1"/>
  <c r="N16" i="1"/>
  <c r="C51" i="68"/>
  <c r="F6" i="15"/>
  <c r="F8" i="15"/>
  <c r="F7" i="15"/>
  <c r="F9" i="15"/>
  <c r="C6" i="15"/>
  <c r="F4" i="73"/>
  <c r="I1" i="73"/>
  <c r="B39" i="1"/>
  <c r="F11" i="15"/>
  <c r="C10" i="15"/>
  <c r="C5" i="15"/>
  <c r="F32" i="15"/>
  <c r="C32" i="15"/>
  <c r="C33" i="15"/>
  <c r="BL13" i="3"/>
  <c r="AZ13" i="3"/>
  <c r="BL14" i="3"/>
  <c r="AZ14" i="3"/>
  <c r="BL15" i="3"/>
  <c r="AZ15" i="3"/>
  <c r="BL16" i="3"/>
  <c r="AZ16" i="3"/>
  <c r="BL17" i="3"/>
  <c r="AZ17" i="3"/>
  <c r="BL18" i="3"/>
  <c r="AZ18" i="3"/>
  <c r="BL19" i="3"/>
  <c r="AZ19" i="3"/>
  <c r="BL20" i="3"/>
  <c r="AZ20" i="3"/>
  <c r="BL21" i="3"/>
  <c r="AZ21" i="3"/>
  <c r="BL22" i="3"/>
  <c r="AZ22" i="3"/>
  <c r="BL23" i="3"/>
  <c r="AZ23" i="3"/>
  <c r="AZ5" i="3"/>
  <c r="AC13" i="3"/>
  <c r="G13" i="3"/>
  <c r="AC14" i="3"/>
  <c r="G14" i="3"/>
  <c r="AC15" i="3"/>
  <c r="G15" i="3"/>
  <c r="AC16" i="3"/>
  <c r="G16" i="3"/>
  <c r="AC17" i="3"/>
  <c r="G17" i="3"/>
  <c r="AC18" i="3"/>
  <c r="G18" i="3"/>
  <c r="AC19" i="3"/>
  <c r="G19" i="3"/>
  <c r="AC20" i="3"/>
  <c r="G20" i="3"/>
  <c r="AC21" i="3"/>
  <c r="G21" i="3"/>
  <c r="AC22" i="3"/>
  <c r="G22" i="3"/>
  <c r="AC23" i="3"/>
  <c r="G23" i="3"/>
  <c r="G5" i="3"/>
  <c r="B3" i="3"/>
  <c r="E3" i="6"/>
  <c r="D19" i="6"/>
  <c r="M19" i="6"/>
  <c r="I19" i="6"/>
  <c r="H19" i="6"/>
  <c r="R19" i="6"/>
  <c r="R6" i="1"/>
  <c r="F35" i="15"/>
  <c r="C34" i="15"/>
  <c r="C31" i="15"/>
  <c r="C14" i="15"/>
  <c r="C15" i="15"/>
  <c r="F16" i="15"/>
  <c r="C16" i="15"/>
  <c r="F43" i="15"/>
  <c r="F17" i="15"/>
  <c r="C17" i="15"/>
  <c r="C18" i="15"/>
  <c r="C19" i="15"/>
  <c r="C20" i="15"/>
  <c r="F24" i="15"/>
  <c r="C23" i="15"/>
  <c r="F26" i="15"/>
  <c r="C26" i="15"/>
  <c r="C24" i="15"/>
  <c r="C27" i="15"/>
  <c r="F28" i="15"/>
  <c r="C28"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C18" i="4"/>
  <c r="C4" i="52"/>
  <c r="C17" i="4"/>
  <c r="B4" i="52"/>
  <c r="H110" i="9"/>
  <c r="D18" i="53"/>
  <c r="A10" i="51"/>
  <c r="A7" i="51"/>
  <c r="K4" i="4"/>
  <c r="B46" i="48"/>
  <c r="D84" i="40"/>
  <c r="E84" i="40"/>
  <c r="F15" i="40"/>
  <c r="AA15" i="40"/>
  <c r="C34" i="40"/>
  <c r="F34" i="40"/>
  <c r="AA34" i="40"/>
  <c r="H15" i="40"/>
  <c r="AB15" i="40"/>
  <c r="H34" i="40"/>
  <c r="AB34" i="40"/>
  <c r="J15" i="40"/>
  <c r="AC15" i="40"/>
  <c r="J34" i="40"/>
  <c r="AC34" i="40"/>
  <c r="E41" i="40"/>
  <c r="E7" i="40"/>
  <c r="E5" i="40"/>
  <c r="I41" i="40"/>
  <c r="G41" i="40"/>
  <c r="I34" i="40"/>
  <c r="G34" i="40"/>
  <c r="E34" i="40"/>
  <c r="F30" i="6"/>
  <c r="F31" i="6"/>
  <c r="D20" i="6"/>
  <c r="D21" i="6"/>
  <c r="D22" i="6"/>
  <c r="D23" i="6"/>
  <c r="D24" i="6"/>
  <c r="D25" i="6"/>
  <c r="D26" i="6"/>
  <c r="D27" i="6"/>
  <c r="D28" i="6"/>
  <c r="D29" i="6"/>
  <c r="D30" i="6"/>
  <c r="D31" i="6"/>
  <c r="I6" i="6"/>
  <c r="C11" i="40"/>
  <c r="I7" i="40"/>
  <c r="G7" i="40"/>
  <c r="I5" i="40"/>
  <c r="G5" i="40"/>
  <c r="E6" i="40"/>
  <c r="D3" i="40"/>
  <c r="N14" i="1"/>
  <c r="J10" i="78"/>
  <c r="J3" i="78"/>
  <c r="H14" i="78"/>
  <c r="K15" i="1"/>
  <c r="K16" i="1"/>
  <c r="B2" i="78"/>
  <c r="B3" i="78"/>
  <c r="B4" i="78"/>
  <c r="B5" i="78"/>
  <c r="B6" i="78"/>
  <c r="B7" i="78"/>
  <c r="B8" i="78"/>
  <c r="B9" i="78"/>
  <c r="B10" i="78"/>
  <c r="B11" i="78"/>
  <c r="B14" i="78"/>
  <c r="D14" i="78"/>
  <c r="D13" i="78"/>
  <c r="D7" i="78"/>
  <c r="D8" i="78"/>
  <c r="D9" i="78"/>
  <c r="D10" i="78"/>
  <c r="D11" i="78"/>
  <c r="B13" i="78"/>
  <c r="D3" i="78"/>
  <c r="D5" i="78"/>
  <c r="D6" i="78"/>
  <c r="D2" i="78"/>
  <c r="F19" i="6"/>
  <c r="H13" i="4"/>
  <c r="C11" i="4"/>
  <c r="K47" i="77"/>
  <c r="K46" i="77"/>
  <c r="K45" i="77"/>
  <c r="K44" i="77"/>
  <c r="K43" i="77"/>
  <c r="K42" i="77"/>
  <c r="K41" i="77"/>
  <c r="K40" i="77"/>
  <c r="K39" i="77"/>
  <c r="K38" i="77"/>
  <c r="K37" i="77"/>
  <c r="K36" i="77"/>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3" i="77"/>
  <c r="K2" i="77"/>
  <c r="D3" i="4"/>
  <c r="B2" i="1"/>
  <c r="G19" i="43"/>
  <c r="M20" i="43"/>
  <c r="C19" i="43"/>
  <c r="I20" i="43"/>
  <c r="C20" i="43"/>
  <c r="K5" i="3"/>
  <c r="I5" i="3"/>
  <c r="M5" i="3"/>
  <c r="AD5" i="3"/>
  <c r="AL5" i="3"/>
  <c r="I4" i="6"/>
  <c r="G3" i="43"/>
  <c r="C24" i="43"/>
  <c r="C33" i="43"/>
  <c r="E33" i="43"/>
  <c r="G33" i="43"/>
  <c r="I33" i="43"/>
  <c r="C34" i="43"/>
  <c r="C35" i="43"/>
  <c r="C36" i="43"/>
  <c r="C37" i="43"/>
  <c r="C38" i="43"/>
  <c r="C39" i="43"/>
  <c r="E7" i="76"/>
  <c r="E8" i="76"/>
  <c r="E9" i="76"/>
  <c r="E10" i="76"/>
  <c r="E11" i="76"/>
  <c r="E12" i="76"/>
  <c r="E13" i="76"/>
  <c r="D7" i="71"/>
  <c r="AH5" i="71"/>
  <c r="AG5" i="71"/>
  <c r="AE5" i="71"/>
  <c r="AF5" i="71"/>
  <c r="AD5" i="71"/>
  <c r="Q5" i="71"/>
  <c r="P5" i="71"/>
  <c r="O5" i="71"/>
  <c r="N5" i="71"/>
  <c r="L3" i="71"/>
  <c r="K3" i="71"/>
  <c r="I3" i="71"/>
  <c r="J3" i="71"/>
  <c r="H14" i="3"/>
  <c r="H15" i="3"/>
  <c r="H16" i="3"/>
  <c r="H17" i="3"/>
  <c r="H18" i="3"/>
  <c r="H19" i="3"/>
  <c r="H20" i="3"/>
  <c r="H21" i="3"/>
  <c r="H22" i="3"/>
  <c r="H24" i="3"/>
  <c r="AC24" i="3"/>
  <c r="G24" i="3"/>
  <c r="BB13" i="3"/>
  <c r="BC13" i="3"/>
  <c r="BD13" i="3"/>
  <c r="BE13" i="3"/>
  <c r="BF13" i="3"/>
  <c r="BG13" i="3"/>
  <c r="BH13" i="3"/>
  <c r="BI13" i="3"/>
  <c r="BJ13" i="3"/>
  <c r="BK13" i="3"/>
  <c r="BA13" i="3"/>
  <c r="BM13" i="3"/>
  <c r="BN13" i="3"/>
  <c r="BO13" i="3"/>
  <c r="BP13" i="3"/>
  <c r="BS13" i="3"/>
  <c r="BT13" i="3"/>
  <c r="BB14" i="3"/>
  <c r="BC14" i="3"/>
  <c r="BD14" i="3"/>
  <c r="BE14" i="3"/>
  <c r="BF14" i="3"/>
  <c r="BG14" i="3"/>
  <c r="BH14" i="3"/>
  <c r="BI14" i="3"/>
  <c r="BJ14" i="3"/>
  <c r="BK14" i="3"/>
  <c r="BA14" i="3"/>
  <c r="BM14" i="3"/>
  <c r="BN14" i="3"/>
  <c r="BO14" i="3"/>
  <c r="BP14" i="3"/>
  <c r="BS14" i="3"/>
  <c r="BT14" i="3"/>
  <c r="BB15" i="3"/>
  <c r="BC15" i="3"/>
  <c r="BD15" i="3"/>
  <c r="BE15" i="3"/>
  <c r="BF15" i="3"/>
  <c r="BG15" i="3"/>
  <c r="BH15" i="3"/>
  <c r="BI15" i="3"/>
  <c r="BJ15" i="3"/>
  <c r="BK15" i="3"/>
  <c r="BA15" i="3"/>
  <c r="BM15" i="3"/>
  <c r="BN15" i="3"/>
  <c r="BO15" i="3"/>
  <c r="BP15" i="3"/>
  <c r="BS15" i="3"/>
  <c r="BT15" i="3"/>
  <c r="BB16" i="3"/>
  <c r="BC16" i="3"/>
  <c r="BD16" i="3"/>
  <c r="BE16" i="3"/>
  <c r="BF16" i="3"/>
  <c r="BG16" i="3"/>
  <c r="BH16" i="3"/>
  <c r="BI16" i="3"/>
  <c r="BJ16" i="3"/>
  <c r="BK16" i="3"/>
  <c r="BA16" i="3"/>
  <c r="BM16" i="3"/>
  <c r="BN16" i="3"/>
  <c r="BO16" i="3"/>
  <c r="BP16" i="3"/>
  <c r="BS16" i="3"/>
  <c r="BT16" i="3"/>
  <c r="BB17" i="3"/>
  <c r="BC17" i="3"/>
  <c r="BD17" i="3"/>
  <c r="BE17" i="3"/>
  <c r="BF17" i="3"/>
  <c r="BG17" i="3"/>
  <c r="BH17" i="3"/>
  <c r="BI17" i="3"/>
  <c r="BJ17" i="3"/>
  <c r="BK17" i="3"/>
  <c r="BA17" i="3"/>
  <c r="BM17" i="3"/>
  <c r="BN17" i="3"/>
  <c r="BO17" i="3"/>
  <c r="BP17" i="3"/>
  <c r="BS17" i="3"/>
  <c r="BT17" i="3"/>
  <c r="BB18" i="3"/>
  <c r="BC18" i="3"/>
  <c r="BD18" i="3"/>
  <c r="BE18" i="3"/>
  <c r="BF18" i="3"/>
  <c r="BG18" i="3"/>
  <c r="BH18" i="3"/>
  <c r="BI18" i="3"/>
  <c r="BJ18" i="3"/>
  <c r="BK18" i="3"/>
  <c r="BA18" i="3"/>
  <c r="BM18" i="3"/>
  <c r="BN18" i="3"/>
  <c r="BO18" i="3"/>
  <c r="BP18" i="3"/>
  <c r="BS18" i="3"/>
  <c r="BT18" i="3"/>
  <c r="BB19" i="3"/>
  <c r="BC19" i="3"/>
  <c r="BD19" i="3"/>
  <c r="BE19" i="3"/>
  <c r="BF19" i="3"/>
  <c r="BG19" i="3"/>
  <c r="BH19" i="3"/>
  <c r="BI19" i="3"/>
  <c r="BJ19" i="3"/>
  <c r="BK19" i="3"/>
  <c r="BA19" i="3"/>
  <c r="BM19" i="3"/>
  <c r="BN19" i="3"/>
  <c r="BO19" i="3"/>
  <c r="BP19" i="3"/>
  <c r="BS19" i="3"/>
  <c r="BT19" i="3"/>
  <c r="BB20" i="3"/>
  <c r="BC20" i="3"/>
  <c r="BD20" i="3"/>
  <c r="BE20" i="3"/>
  <c r="BF20" i="3"/>
  <c r="BG20" i="3"/>
  <c r="BH20" i="3"/>
  <c r="BI20" i="3"/>
  <c r="BJ20" i="3"/>
  <c r="BK20" i="3"/>
  <c r="BA20" i="3"/>
  <c r="BM20" i="3"/>
  <c r="BN20" i="3"/>
  <c r="BO20" i="3"/>
  <c r="BP20" i="3"/>
  <c r="BS20" i="3"/>
  <c r="BT20" i="3"/>
  <c r="BB21" i="3"/>
  <c r="BC21" i="3"/>
  <c r="BD21" i="3"/>
  <c r="BE21" i="3"/>
  <c r="BF21" i="3"/>
  <c r="BG21" i="3"/>
  <c r="BH21" i="3"/>
  <c r="BI21" i="3"/>
  <c r="BJ21" i="3"/>
  <c r="BK21" i="3"/>
  <c r="BA21" i="3"/>
  <c r="BM21" i="3"/>
  <c r="BN21" i="3"/>
  <c r="BO21" i="3"/>
  <c r="BP21" i="3"/>
  <c r="BS21" i="3"/>
  <c r="BT21" i="3"/>
  <c r="BB22" i="3"/>
  <c r="BC22" i="3"/>
  <c r="BD22" i="3"/>
  <c r="BE22" i="3"/>
  <c r="BF22" i="3"/>
  <c r="BG22" i="3"/>
  <c r="BH22" i="3"/>
  <c r="BI22" i="3"/>
  <c r="BJ22" i="3"/>
  <c r="BK22" i="3"/>
  <c r="BA22" i="3"/>
  <c r="BM22" i="3"/>
  <c r="BN22" i="3"/>
  <c r="BO22" i="3"/>
  <c r="BP22" i="3"/>
  <c r="BS22" i="3"/>
  <c r="BT22" i="3"/>
  <c r="BB23" i="3"/>
  <c r="BC23" i="3"/>
  <c r="BD23" i="3"/>
  <c r="BE23" i="3"/>
  <c r="BF23" i="3"/>
  <c r="BG23" i="3"/>
  <c r="BH23" i="3"/>
  <c r="BI23" i="3"/>
  <c r="BJ23" i="3"/>
  <c r="BK23" i="3"/>
  <c r="BA23" i="3"/>
  <c r="BM23" i="3"/>
  <c r="BN23" i="3"/>
  <c r="BO23" i="3"/>
  <c r="BP23" i="3"/>
  <c r="BR23" i="3"/>
  <c r="BS23" i="3"/>
  <c r="BT23" i="3"/>
  <c r="BB24" i="3"/>
  <c r="BC24" i="3"/>
  <c r="BD24" i="3"/>
  <c r="BE24" i="3"/>
  <c r="BF24" i="3"/>
  <c r="BG24" i="3"/>
  <c r="BH24" i="3"/>
  <c r="BI24" i="3"/>
  <c r="BJ24" i="3"/>
  <c r="BK24" i="3"/>
  <c r="BA24" i="3"/>
  <c r="BM24" i="3"/>
  <c r="BN24" i="3"/>
  <c r="BO24" i="3"/>
  <c r="BP24" i="3"/>
  <c r="BQ24" i="3"/>
  <c r="BR24" i="3"/>
  <c r="BS24" i="3"/>
  <c r="BT24" i="3"/>
  <c r="BL24" i="3"/>
  <c r="AZ24"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AX23" i="3"/>
  <c r="AW23" i="3"/>
  <c r="AV23" i="3"/>
  <c r="H23" i="3"/>
  <c r="AX22" i="3"/>
  <c r="AW22" i="3"/>
  <c r="AV22" i="3"/>
  <c r="AX21" i="3"/>
  <c r="AW21" i="3"/>
  <c r="AV21" i="3"/>
  <c r="AX20" i="3"/>
  <c r="AW20" i="3"/>
  <c r="AV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O10" i="1"/>
  <c r="B22" i="1"/>
  <c r="B23" i="1"/>
  <c r="B24" i="1"/>
  <c r="D78" i="9"/>
  <c r="E19" i="6"/>
  <c r="E20" i="6"/>
  <c r="E21" i="6"/>
  <c r="F23" i="15"/>
  <c r="D24" i="15"/>
  <c r="O8" i="1"/>
  <c r="P8" i="1"/>
  <c r="O13" i="1"/>
  <c r="P13" i="1"/>
  <c r="E22" i="6"/>
  <c r="E23" i="6"/>
  <c r="E24" i="6"/>
  <c r="E25" i="6"/>
  <c r="E26" i="6"/>
  <c r="BC10" i="3"/>
  <c r="BD10" i="3"/>
  <c r="BB10" i="3"/>
  <c r="H13" i="3"/>
  <c r="AT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S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B7" i="7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20" i="9"/>
  <c r="D102" i="9"/>
  <c r="D21" i="9"/>
  <c r="D103" i="9"/>
  <c r="H109" i="9"/>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F61" i="40"/>
  <c r="B2" i="40"/>
  <c r="C6" i="68"/>
  <c r="C7" i="68"/>
  <c r="C5" i="68"/>
  <c r="C20" i="68"/>
  <c r="C23" i="68"/>
  <c r="C25" i="68"/>
  <c r="C22" i="68"/>
  <c r="C28" i="68"/>
  <c r="C27" i="68"/>
  <c r="C31" i="68"/>
  <c r="C52" i="68"/>
  <c r="B2" i="68"/>
  <c r="C19" i="9"/>
  <c r="G19" i="9"/>
  <c r="C32" i="9"/>
  <c r="H118" i="9"/>
  <c r="H101" i="9"/>
  <c r="H107" i="9"/>
  <c r="M49" i="9"/>
  <c r="D45" i="9"/>
  <c r="C64" i="9"/>
  <c r="C63" i="9"/>
  <c r="C67" i="9"/>
  <c r="C68" i="9"/>
  <c r="D54" i="9"/>
  <c r="D48" i="9"/>
  <c r="M52" i="9"/>
  <c r="D55" i="9"/>
  <c r="M53" i="9"/>
  <c r="C72" i="9"/>
  <c r="C78" i="9"/>
  <c r="C73" i="9"/>
  <c r="C79" i="9"/>
  <c r="C80" i="9"/>
  <c r="C81" i="9"/>
  <c r="D58" i="9"/>
  <c r="D56" i="9"/>
  <c r="M54" i="9"/>
  <c r="N57" i="9"/>
  <c r="N59" i="9"/>
  <c r="N60" i="9"/>
  <c r="N61" i="9"/>
  <c r="N58" i="9"/>
  <c r="P57" i="9"/>
  <c r="E80" i="9"/>
  <c r="E81" i="9"/>
  <c r="C85" i="9"/>
  <c r="C93" i="9"/>
  <c r="C86" i="9"/>
  <c r="C95" i="9"/>
  <c r="C96" i="9"/>
  <c r="E96" i="9"/>
  <c r="E97" i="9"/>
  <c r="D122" i="9"/>
  <c r="G14" i="74"/>
  <c r="B6" i="74"/>
  <c r="C6" i="74"/>
  <c r="D6" i="74"/>
  <c r="C97"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C56" i="68"/>
  <c r="D34" i="9"/>
  <c r="G21" i="9"/>
  <c r="C20" i="9"/>
  <c r="G20" i="9"/>
  <c r="C103" i="9"/>
  <c r="D22" i="9"/>
  <c r="C21" i="9"/>
  <c r="C102" i="9"/>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 r="D24" i="78"/>
  <c r="E24" i="78"/>
  <c r="F24"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<sst xmlns="http://schemas.openxmlformats.org/spreadsheetml/2006/main" count="7677" uniqueCount="3230">
  <si>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</si>
  <si>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</si>
  <si>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</si>
  <si>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</si>
  <si>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</si>
  <si>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</si>
  <si>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</si>
  <si>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</si>
  <si>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</si>
  <si>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</si>
  <si>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</si>
  <si>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</si>
  <si>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</si>
  <si>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</si>
  <si>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</si>
  <si>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</si>
  <si>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</si>
  <si>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</si>
  <si>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</si>
  <si>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</si>
  <si>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</si>
  <si>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</si>
  <si>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</si>
  <si>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</si>
  <si>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</si>
  <si>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</si>
  <si>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</si>
  <si>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</si>
  <si>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</si>
  <si>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</si>
  <si>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</si>
  <si>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</si>
  <si>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</si>
  <si>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</si>
  <si>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</si>
  <si>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</si>
  <si>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</si>
  <si>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</si>
  <si>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</si>
  <si>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</si>
  <si>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</si>
  <si>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</si>
  <si>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</si>
  <si>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</si>
  <si>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</si>
  <si>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</si>
  <si>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</si>
  <si>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</si>
  <si>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</si>
  <si>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</si>
  <si>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</si>
  <si>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</si>
  <si>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</si>
  <si>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</si>
  <si>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</si>
  <si>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</si>
  <si>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</si>
  <si>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</si>
  <si>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</si>
  <si>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</si>
  <si>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</si>
  <si>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</si>
  <si>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</si>
  <si>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</si>
  <si>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</si>
  <si>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</si>
  <si>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</si>
  <si>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</si>
  <si>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</si>
  <si>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</si>
  <si>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</si>
  <si>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</si>
  <si>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</si>
  <si>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</si>
  <si>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</si>
  <si>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</si>
  <si>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</si>
  <si>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</si>
  <si>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</si>
  <si>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</si>
  <si>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</si>
  <si>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</si>
  <si>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</si>
  <si>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</si>
  <si>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</si>
  <si>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</si>
  <si>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</si>
  <si>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</si>
  <si>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</si>
  <si>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</si>
  <si>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</si>
  <si>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</si>
  <si>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</si>
  <si>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</si>
  <si>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</si>
  <si>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</si>
  <si>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</si>
  <si>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</si>
  <si>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</si>
  <si>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</si>
  <si>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</si>
  <si>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</si>
  <si>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</si>
  <si>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</si>
  <si>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</si>
  <si>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</si>
  <si>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</si>
  <si>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</si>
  <si>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</si>
  <si>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</si>
  <si>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</si>
  <si>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</si>
  <si>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</si>
  <si>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</si>
  <si>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</si>
  <si>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</si>
  <si>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</si>
  <si>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</si>
  <si>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</si>
  <si>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</si>
  <si>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</si>
  <si>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</si>
  <si>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</si>
  <si>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</si>
  <si>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</si>
  <si>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</si>
  <si>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</si>
  <si>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</si>
  <si>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</si>
  <si>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</si>
  <si>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</si>
  <si>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</si>
  <si>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</si>
  <si>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</si>
  <si>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</si>
  <si>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</si>
  <si>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</si>
  <si>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</si>
  <si>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</si>
  <si>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</si>
  <si>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</si>
  <si>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</si>
  <si>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</si>
  <si>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</si>
  <si>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</si>
  <si>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</si>
  <si>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</si>
  <si>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</si>
  <si>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</si>
  <si>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</si>
  <si>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</si>
  <si>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</si>
  <si>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</si>
  <si>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</si>
  <si>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</si>
  <si>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</si>
  <si>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</si>
  <si>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</si>
  <si>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</si>
  <si>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</si>
  <si>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</si>
  <si>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</si>
  <si>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</si>
  <si>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</si>
  <si>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</si>
  <si>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</si>
  <si>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</si>
  <si>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</si>
  <si>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</si>
  <si>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</si>
  <si>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</si>
  <si>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</si>
  <si>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</si>
  <si>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</si>
  <si>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</si>
  <si>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</si>
  <si>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</si>
  <si>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</si>
  <si>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</si>
  <si>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</si>
  <si>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</si>
  <si>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</si>
  <si>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</si>
  <si>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</si>
  <si>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</si>
  <si>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</si>
  <si>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</si>
  <si>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</si>
  <si>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</si>
  <si>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</si>
  <si>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</si>
  <si>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</si>
  <si>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</si>
  <si>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</si>
  <si>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</si>
  <si>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</si>
  <si>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</si>
  <si>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</si>
  <si>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</si>
  <si>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</si>
  <si>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</si>
  <si>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</si>
  <si>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</si>
  <si>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</si>
  <si>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</si>
  <si>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</si>
  <si>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</si>
  <si>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</si>
  <si>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</si>
  <si>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</si>
  <si>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</si>
  <si>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</si>
  <si>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</si>
  <si>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</si>
  <si>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</si>
  <si>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</si>
  <si>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</si>
  <si>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</si>
  <si>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</si>
  <si>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</si>
  <si>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</si>
  <si>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</si>
  <si>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</si>
  <si>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</si>
  <si>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</si>
  <si>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</si>
  <si>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</si>
  <si>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</si>
  <si>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</si>
  <si>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</si>
  <si>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</si>
  <si>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</si>
  <si>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</si>
  <si>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</si>
  <si>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</si>
  <si>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</si>
  <si>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</si>
  <si>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</si>
  <si>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</si>
  <si>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</si>
  <si>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</si>
  <si>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</si>
  <si>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</si>
  <si>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</si>
  <si>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</si>
  <si>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</si>
  <si>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</si>
  <si>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</si>
  <si>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</si>
  <si>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</si>
  <si>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</si>
  <si>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</si>
  <si>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</si>
  <si>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</si>
  <si>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</si>
  <si>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</si>
  <si>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</si>
  <si>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</si>
  <si>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</si>
  <si>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</si>
  <si>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</si>
  <si>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</si>
  <si>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</si>
  <si>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</si>
  <si>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</si>
  <si>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</si>
  <si>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</si>
  <si>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</si>
  <si>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</si>
  <si>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</si>
  <si>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</si>
  <si>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</si>
  <si>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</si>
  <si>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</si>
  <si>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</si>
  <si>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</si>
  <si>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</si>
  <si>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</si>
  <si>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</si>
  <si>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</si>
  <si>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</si>
  <si>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</si>
  <si>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</si>
  <si>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</si>
  <si>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</si>
  <si>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</si>
  <si>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</si>
  <si>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</si>
  <si>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</si>
  <si>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</si>
  <si>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</si>
  <si>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</si>
  <si>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</si>
  <si>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</si>
  <si>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</si>
  <si>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</si>
  <si>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</si>
  <si>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</si>
  <si>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</si>
  <si>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</si>
  <si>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</si>
  <si>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</si>
  <si>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</si>
  <si>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</si>
  <si>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</si>
  <si>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</si>
  <si>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</si>
  <si>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</si>
  <si>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</si>
  <si>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</si>
  <si>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</si>
  <si>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</si>
  <si>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</si>
  <si>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</si>
  <si>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</si>
  <si>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</si>
  <si>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</si>
  <si>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</si>
  <si>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</si>
  <si>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</si>
  <si>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</si>
  <si>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</si>
  <si>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</si>
  <si>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</si>
  <si>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</si>
  <si>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</si>
  <si>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</si>
  <si>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</si>
  <si>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</si>
  <si>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</si>
  <si>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</si>
  <si>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</si>
  <si>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</si>
  <si>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</si>
  <si>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</si>
  <si>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</si>
  <si>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</si>
  <si>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</si>
  <si>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</si>
  <si>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</si>
  <si>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</si>
  <si>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</si>
  <si>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</si>
  <si>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</si>
  <si>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</si>
  <si>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</si>
  <si>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</si>
  <si>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</si>
  <si>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</si>
  <si>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</si>
  <si>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</si>
  <si>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</si>
  <si>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</si>
  <si>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</si>
  <si>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</si>
  <si>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</si>
  <si>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</si>
  <si>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</si>
  <si>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</si>
  <si>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</si>
  <si>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</si>
  <si>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</si>
  <si>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</si>
  <si>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</si>
  <si>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</si>
  <si>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</si>
  <si>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</si>
  <si>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</si>
  <si>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</si>
  <si>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</si>
  <si>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</si>
  <si>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</si>
  <si>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</si>
  <si>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</si>
  <si>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</si>
  <si>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</si>
  <si>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</si>
  <si>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</si>
  <si>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</si>
  <si>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</si>
  <si>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</si>
  <si>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</si>
  <si>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</si>
  <si>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</si>
  <si>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</si>
  <si>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</si>
  <si>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</si>
  <si>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</si>
  <si>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</si>
  <si>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</si>
  <si>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</si>
  <si>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</si>
  <si>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</si>
  <si>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</si>
  <si>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</si>
  <si>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</si>
  <si>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</si>
  <si>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</si>
  <si>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</si>
  <si>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</si>
  <si>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</si>
  <si>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</si>
  <si>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</si>
  <si>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</si>
  <si>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</si>
  <si>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</si>
  <si>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</si>
  <si>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</si>
  <si>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</si>
  <si>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</si>
  <si>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</si>
  <si>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</si>
  <si>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</si>
  <si>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</si>
  <si>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</si>
  <si>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</si>
  <si>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</si>
  <si>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</si>
  <si>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</si>
  <si>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</si>
  <si>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</si>
  <si>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</si>
  <si>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</si>
  <si>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</si>
  <si>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</si>
  <si>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</si>
  <si>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</si>
  <si>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</si>
  <si>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</si>
  <si>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</si>
  <si>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</si>
  <si>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</si>
  <si>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</si>
  <si>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</si>
  <si>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</si>
  <si>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</si>
  <si>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</si>
  <si>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</si>
  <si>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</si>
  <si>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</si>
  <si>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</si>
  <si>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</si>
  <si>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</si>
  <si>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</si>
  <si>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</si>
  <si>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</si>
  <si>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</si>
  <si>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</si>
  <si>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</si>
  <si>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</si>
  <si>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</si>
  <si>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</si>
  <si>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</si>
  <si>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</si>
  <si>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</si>
  <si>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</si>
  <si>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</si>
  <si>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</si>
  <si>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</si>
  <si>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</si>
  <si>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</si>
  <si>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</si>
  <si>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</si>
  <si>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</si>
  <si>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</si>
  <si>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</si>
  <si>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</si>
  <si>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</si>
  <si>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</si>
  <si>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</si>
  <si>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</si>
  <si>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</si>
  <si>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</si>
  <si>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</si>
  <si>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</si>
  <si>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</si>
  <si>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</si>
  <si>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</si>
  <si>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</si>
  <si>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</si>
  <si>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</si>
  <si>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</si>
  <si>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</si>
  <si>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</si>
  <si>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</si>
  <si>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</si>
  <si>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</si>
  <si>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</si>
  <si>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</si>
  <si>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</si>
  <si>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</si>
  <si>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</si>
  <si>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</si>
  <si>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</si>
  <si>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</si>
  <si>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</si>
  <si>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</si>
  <si>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</si>
  <si>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</si>
  <si>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</si>
  <si>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</si>
  <si>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</si>
  <si>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</si>
  <si>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</si>
  <si>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</si>
  <si>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</si>
  <si>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</si>
  <si>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</si>
  <si>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</si>
  <si>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</si>
  <si>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</si>
  <si>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</si>
  <si>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</si>
  <si>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</si>
  <si>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</si>
  <si>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</si>
  <si>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</si>
  <si>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</si>
  <si>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</si>
  <si>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</si>
  <si>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</si>
  <si>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</si>
  <si>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</si>
  <si>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</si>
  <si>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</si>
  <si>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</si>
  <si>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</si>
  <si>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</si>
  <si>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</si>
  <si>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</si>
  <si>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</si>
  <si>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</si>
  <si>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</si>
  <si>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</si>
  <si>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</si>
  <si>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</si>
  <si>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</si>
  <si>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</si>
  <si>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</si>
  <si>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</si>
  <si>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</si>
  <si>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</si>
  <si>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</si>
  <si>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</si>
  <si>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</si>
  <si>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</si>
  <si>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</si>
  <si>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</si>
  <si>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</si>
  <si>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</si>
  <si>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</si>
  <si>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</si>
  <si>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</si>
  <si>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</si>
  <si>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</si>
  <si>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</si>
  <si>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</si>
  <si>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</si>
  <si>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</si>
  <si>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</si>
  <si>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</si>
  <si>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</si>
  <si>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</si>
  <si>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</si>
  <si>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</si>
  <si>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</si>
  <si>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</si>
  <si>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</si>
  <si>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</si>
  <si>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</si>
  <si>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</si>
  <si>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</si>
  <si>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</si>
  <si>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</si>
  <si>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</si>
  <si>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</si>
  <si>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</si>
  <si>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</si>
  <si>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</si>
  <si>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</si>
  <si>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</si>
  <si>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</si>
  <si>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</si>
  <si>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</si>
  <si>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</si>
  <si>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</si>
  <si>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</si>
  <si>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</si>
  <si>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</si>
  <si>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</si>
  <si>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</si>
  <si>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</si>
  <si>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</si>
  <si>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</si>
  <si>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</si>
  <si>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</si>
  <si>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</si>
  <si>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</si>
  <si>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</si>
  <si>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</si>
  <si>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</si>
  <si>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</si>
  <si>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</si>
  <si>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</si>
  <si>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</si>
  <si>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</si>
  <si>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</si>
  <si>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</si>
  <si>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</si>
  <si>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</si>
  <si>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</si>
  <si>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</si>
  <si>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</si>
  <si>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</si>
  <si>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</si>
  <si>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</si>
  <si>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</si>
  <si>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</si>
  <si>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</si>
  <si>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</si>
  <si>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</si>
  <si>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</si>
  <si>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</si>
  <si>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</si>
  <si>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</si>
  <si>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</si>
  <si>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</si>
  <si>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</si>
  <si>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</si>
  <si>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</si>
  <si>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</si>
  <si>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</si>
  <si>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</si>
  <si>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</si>
  <si>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</si>
  <si>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</si>
  <si>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</si>
  <si>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</si>
  <si>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</si>
  <si>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</si>
  <si>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</si>
  <si>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</si>
  <si>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</si>
  <si>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</si>
  <si>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</si>
  <si>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</si>
  <si>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</si>
  <si>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</si>
  <si>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</si>
  <si>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</si>
  <si>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</si>
  <si>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</si>
  <si>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</si>
  <si>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</si>
  <si>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</si>
  <si>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</si>
  <si>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</si>
  <si>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</si>
  <si>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</si>
  <si>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</si>
  <si>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</si>
  <si>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</si>
  <si>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</si>
  <si>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</si>
  <si>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</si>
  <si>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</si>
  <si>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</si>
  <si>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</si>
  <si>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</si>
  <si>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</si>
  <si>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</si>
  <si>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</si>
  <si>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</si>
  <si>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</si>
  <si>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</si>
  <si>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</si>
  <si>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</si>
  <si>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</si>
  <si>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</si>
  <si>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</si>
  <si>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</si>
  <si>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</si>
  <si>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</si>
  <si>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</si>
  <si>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</si>
  <si>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</si>
  <si>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</si>
  <si>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</si>
  <si>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</si>
  <si>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</si>
  <si>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</si>
  <si>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</si>
  <si>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</si>
  <si>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</si>
  <si>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</si>
  <si>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</si>
  <si>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</si>
  <si>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</si>
  <si>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</si>
  <si>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</si>
  <si>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</si>
  <si>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</si>
  <si>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</si>
  <si>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</si>
  <si>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</si>
  <si>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</si>
  <si>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</si>
  <si>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</si>
  <si>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</si>
  <si>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</si>
  <si>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</si>
  <si>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</si>
  <si>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</si>
  <si>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</si>
  <si>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</si>
  <si>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</si>
  <si>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</si>
  <si>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</si>
  <si>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</si>
  <si>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</si>
  <si>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</si>
  <si>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</si>
  <si>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</si>
  <si>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</si>
  <si>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</si>
  <si>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</si>
  <si>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</si>
  <si>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</si>
  <si>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</si>
  <si>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</si>
  <si>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</si>
  <si>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</si>
  <si>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</si>
  <si>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</si>
  <si>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</si>
  <si>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</si>
  <si>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</si>
  <si>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</si>
  <si>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</si>
  <si>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</si>
  <si>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</si>
  <si>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</si>
  <si>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</si>
  <si>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</si>
  <si>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</si>
  <si>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</si>
  <si>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</si>
  <si>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</si>
  <si>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</si>
  <si>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</si>
  <si>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</si>
  <si>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</si>
  <si>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</si>
  <si>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</si>
  <si>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</si>
  <si>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</si>
  <si>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</si>
  <si>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</si>
  <si>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</si>
  <si>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</si>
  <si>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</si>
  <si>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</si>
  <si>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</si>
  <si>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</si>
  <si>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</si>
  <si>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</si>
  <si>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</si>
  <si>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</si>
  <si>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</si>
  <si>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</si>
  <si>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</si>
  <si>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</si>
  <si>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</si>
  <si>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</si>
  <si>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</si>
  <si>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</si>
  <si>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</si>
  <si>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</si>
  <si>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</si>
  <si>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</si>
  <si>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</si>
  <si>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</si>
  <si>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</si>
  <si>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</si>
  <si>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</si>
  <si>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</si>
  <si>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</si>
  <si>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</si>
  <si>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</si>
  <si>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</si>
  <si>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</si>
  <si>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</si>
  <si>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</si>
  <si>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</si>
  <si>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</si>
  <si>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</si>
  <si>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</si>
  <si>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</si>
  <si>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</si>
  <si>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</si>
  <si>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</si>
  <si>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</si>
  <si>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</si>
  <si>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</si>
  <si>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</si>
  <si>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</si>
  <si>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</si>
  <si>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</si>
  <si>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</si>
  <si>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</si>
  <si>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</si>
  <si>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</si>
  <si>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</si>
  <si>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</si>
  <si>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</si>
  <si>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</si>
  <si>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</si>
  <si>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</si>
  <si>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</si>
  <si>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</si>
  <si>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</si>
  <si>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</si>
  <si>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</si>
  <si>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</si>
  <si>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</si>
  <si>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</si>
  <si>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</si>
  <si>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</si>
  <si>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</si>
  <si>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</si>
  <si>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</si>
  <si>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</si>
  <si>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</si>
  <si>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</si>
  <si>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</si>
  <si>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</si>
  <si>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</si>
  <si>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</si>
  <si>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</si>
  <si>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</si>
  <si>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</si>
  <si>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</si>
  <si>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</si>
  <si>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</si>
  <si>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</si>
  <si>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</si>
  <si>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</si>
  <si>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</si>
  <si>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</si>
  <si>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</si>
  <si>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</si>
  <si>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</si>
  <si>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</si>
  <si>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</si>
  <si>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</si>
  <si>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</si>
  <si>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</si>
  <si>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</si>
  <si>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</si>
  <si>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</si>
  <si>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</si>
  <si>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</si>
  <si>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</si>
  <si>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</si>
  <si>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</si>
  <si>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</si>
  <si>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</si>
  <si>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</si>
  <si>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</si>
  <si>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</si>
  <si>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</si>
  <si>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</si>
  <si>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</si>
  <si>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</si>
  <si>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</si>
  <si>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</si>
  <si>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</si>
  <si>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</si>
  <si>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</si>
  <si>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</si>
  <si>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</si>
  <si>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</si>
  <si>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</si>
  <si>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</si>
  <si>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</si>
  <si>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</si>
  <si>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</si>
  <si>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</si>
  <si>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</si>
  <si>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</si>
  <si>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</si>
  <si>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</si>
  <si>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</si>
  <si>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</si>
  <si>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</si>
  <si>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</si>
  <si>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</si>
  <si>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</si>
  <si>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</si>
  <si>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</si>
  <si>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</si>
  <si>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</si>
  <si>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</si>
  <si>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</si>
  <si>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</si>
  <si>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</si>
  <si>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</si>
  <si>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</si>
  <si>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</si>
  <si>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</si>
  <si>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</si>
  <si>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</si>
  <si>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</si>
  <si>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</si>
  <si>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</si>
  <si>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</si>
  <si>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</si>
  <si>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</si>
  <si>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</si>
  <si>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</si>
  <si>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</si>
  <si>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</si>
  <si>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</si>
  <si>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</si>
  <si>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</si>
  <si>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</si>
  <si>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</si>
  <si>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</si>
  <si>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</si>
  <si>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</si>
  <si>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</si>
  <si>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</si>
  <si>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</si>
  <si>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</si>
  <si>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</si>
  <si>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</si>
  <si>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</si>
  <si>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</si>
  <si>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</si>
  <si>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</si>
  <si>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</si>
  <si>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</si>
  <si>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</si>
  <si>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</si>
  <si>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</si>
  <si>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</si>
  <si>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</si>
  <si>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</si>
  <si>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</si>
  <si>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</si>
  <si>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</si>
  <si>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</si>
  <si>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</si>
  <si>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</si>
  <si>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</si>
  <si>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</si>
  <si>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</si>
  <si>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</si>
  <si>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</si>
  <si>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</si>
  <si>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</si>
  <si>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</si>
  <si>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</si>
  <si>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</si>
  <si>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</si>
  <si>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</si>
  <si>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</si>
  <si>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</si>
  <si>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</si>
  <si>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</si>
  <si>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</si>
  <si>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</si>
  <si>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</si>
  <si>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</si>
  <si>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</si>
  <si>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</si>
  <si>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</si>
  <si>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</si>
  <si>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</si>
  <si>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</si>
  <si>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</si>
  <si>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</si>
  <si>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</si>
  <si>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</si>
  <si>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</si>
  <si>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</si>
  <si>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</si>
  <si>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</si>
  <si>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</si>
  <si>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</si>
  <si>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</si>
  <si>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</si>
  <si>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</si>
  <si>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</si>
  <si>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</si>
  <si>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</si>
  <si>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</si>
  <si>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</si>
  <si>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</si>
  <si>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</si>
  <si>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</si>
  <si>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</si>
  <si>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</si>
  <si>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</si>
  <si>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</si>
  <si>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</si>
  <si>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</si>
  <si>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</si>
  <si>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</si>
  <si>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</si>
  <si>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</si>
  <si>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</si>
  <si>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</si>
  <si>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</si>
  <si>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</si>
  <si>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</si>
  <si>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</si>
  <si>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</si>
  <si>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</si>
  <si>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</si>
  <si>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</si>
  <si>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</si>
  <si>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</si>
  <si>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</si>
  <si>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</si>
  <si>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</si>
  <si>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</si>
  <si>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</si>
  <si>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</si>
  <si>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</si>
  <si>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</si>
  <si>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</si>
  <si>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</si>
  <si>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</si>
  <si>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</si>
  <si>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</si>
  <si>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</si>
  <si>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</si>
  <si>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</si>
  <si>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</si>
  <si>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</si>
  <si>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</si>
  <si>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</si>
  <si>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</si>
  <si>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</si>
  <si>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</si>
  <si>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</si>
  <si>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</si>
  <si>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</si>
  <si>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</si>
  <si>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</si>
  <si>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</si>
  <si>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</si>
  <si>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</si>
  <si>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</si>
  <si>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</si>
  <si>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</si>
  <si>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</si>
  <si>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</si>
  <si>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</si>
  <si>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</si>
  <si>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</si>
  <si>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</si>
  <si>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</si>
  <si>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</si>
  <si>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</si>
  <si>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</si>
  <si>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</si>
  <si>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</si>
  <si>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</si>
  <si>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</si>
  <si>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</si>
  <si>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</si>
  <si>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</si>
  <si>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</si>
  <si>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</si>
  <si>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</si>
  <si>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</si>
  <si>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</si>
  <si>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</si>
  <si>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</si>
  <si>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</si>
  <si>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</si>
  <si>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</si>
  <si>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</si>
  <si>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</si>
  <si>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</si>
  <si>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</si>
  <si>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</si>
  <si>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</si>
  <si>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</si>
  <si>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</si>
  <si>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</si>
  <si>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</si>
  <si>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</si>
  <si>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</si>
  <si>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</si>
  <si>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</si>
  <si>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</si>
  <si>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</si>
  <si>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</si>
  <si>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</si>
  <si>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</si>
  <si>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</si>
  <si>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</si>
  <si>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</si>
  <si>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</si>
  <si>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</si>
  <si>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</si>
  <si>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</si>
  <si>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</si>
  <si>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</si>
  <si>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</si>
  <si>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</si>
  <si>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</si>
  <si>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</si>
  <si>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</si>
  <si>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</si>
  <si>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</si>
  <si>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</si>
  <si>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</si>
  <si>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</si>
  <si>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</si>
  <si>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</si>
  <si>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</si>
  <si>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</si>
  <si>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</si>
  <si>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</si>
  <si>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</si>
  <si>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</si>
  <si>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</si>
  <si>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</si>
  <si>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</si>
  <si>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</si>
  <si>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</si>
  <si>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</si>
  <si>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</si>
  <si>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</si>
  <si>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</si>
  <si>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</si>
  <si>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</si>
  <si>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</si>
  <si>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</si>
  <si>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</si>
  <si>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</si>
  <si>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</si>
  <si>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</si>
  <si>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</si>
  <si>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</si>
  <si>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</si>
  <si>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</si>
  <si>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</si>
  <si>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</si>
  <si>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</si>
  <si>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</si>
  <si>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</si>
  <si>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</si>
  <si>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</si>
  <si>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</si>
  <si>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</si>
  <si>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</si>
  <si>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</si>
  <si>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</si>
  <si>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</si>
  <si>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</si>
  <si>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</si>
  <si>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</si>
  <si>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</si>
  <si>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</si>
  <si>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</si>
  <si>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</si>
  <si>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</si>
  <si>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</si>
  <si>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</si>
  <si>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</si>
  <si>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</si>
  <si>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</si>
  <si>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</si>
  <si>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</si>
  <si>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</si>
  <si>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</si>
  <si>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</si>
  <si>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</si>
  <si>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</si>
  <si>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</si>
  <si>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</si>
  <si>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</si>
  <si>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</si>
  <si>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</si>
  <si>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</si>
  <si>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</si>
  <si>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</si>
  <si>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</si>
  <si>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</si>
  <si>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</si>
  <si>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</si>
  <si>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</si>
  <si>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</si>
  <si>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</si>
  <si>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</si>
  <si>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</si>
  <si>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</si>
  <si>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</si>
  <si>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</si>
  <si>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</si>
  <si>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</si>
  <si>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</si>
  <si>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</si>
  <si>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</si>
  <si>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</si>
  <si>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</si>
  <si>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</si>
  <si>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</si>
  <si>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</si>
  <si>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</si>
  <si>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</si>
  <si>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</si>
  <si>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</si>
  <si>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</si>
  <si>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</si>
  <si>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</si>
  <si>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</si>
  <si>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</si>
  <si>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</si>
  <si>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</si>
  <si>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</si>
  <si>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</si>
  <si>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</si>
  <si>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</si>
  <si>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</si>
  <si>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</si>
  <si>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</si>
  <si>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</si>
  <si>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</si>
  <si>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</si>
  <si>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</si>
  <si>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</si>
  <si>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</si>
  <si>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</si>
  <si>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</si>
  <si>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</si>
  <si>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</si>
  <si>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</si>
  <si>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</si>
  <si>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</si>
  <si>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</si>
  <si>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</si>
  <si>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</si>
  <si>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</si>
  <si>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</si>
  <si>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</si>
  <si>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</si>
  <si>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</si>
  <si>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</si>
  <si>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</si>
  <si>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</si>
  <si>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</si>
  <si>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</si>
  <si>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</si>
  <si>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</si>
  <si>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</si>
  <si>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</si>
  <si>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</si>
  <si>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</si>
  <si>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</si>
  <si>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</si>
  <si>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</si>
  <si>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</si>
  <si>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</si>
  <si>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</si>
  <si>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</si>
  <si>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</si>
  <si>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</si>
  <si>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</si>
  <si>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</si>
  <si>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</si>
  <si>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</si>
  <si>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</si>
  <si>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</si>
  <si>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</si>
  <si>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</si>
  <si>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</si>
  <si>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</si>
  <si>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</si>
  <si>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</si>
  <si>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</si>
  <si>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</si>
  <si>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</si>
  <si>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</si>
  <si>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</si>
  <si>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</si>
  <si>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</si>
  <si>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</si>
  <si>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</si>
  <si>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</si>
  <si>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</si>
  <si>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</si>
  <si>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</si>
  <si>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</si>
  <si>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</si>
  <si>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</si>
  <si>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</si>
  <si>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</si>
  <si>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</si>
  <si>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</si>
  <si>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</si>
  <si>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</si>
  <si>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</si>
  <si>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</si>
  <si>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</si>
  <si>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</si>
  <si>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</si>
  <si>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</si>
  <si>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</si>
  <si>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</si>
  <si>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</si>
  <si>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</si>
  <si>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</si>
  <si>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</si>
  <si>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</si>
  <si>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</si>
  <si>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</si>
  <si>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</si>
  <si>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</si>
  <si>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</si>
  <si>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</si>
  <si>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</si>
  <si>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</si>
  <si>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</si>
  <si>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</si>
  <si>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</si>
  <si>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</si>
  <si>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</si>
  <si>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</si>
  <si>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</si>
  <si>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</si>
  <si>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</si>
  <si>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</si>
  <si>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</si>
  <si>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</si>
  <si>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</si>
  <si>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</si>
  <si>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</si>
  <si>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</si>
  <si>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</si>
  <si>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</si>
  <si>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</si>
  <si>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</si>
  <si>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</si>
  <si>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</si>
  <si>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</si>
  <si>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</si>
  <si>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</si>
  <si>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</si>
  <si>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</si>
  <si>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</si>
  <si>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</si>
  <si>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</si>
  <si>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</si>
  <si>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</si>
  <si>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</si>
  <si>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</si>
  <si>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</si>
  <si>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</si>
  <si>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</si>
  <si>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</si>
  <si>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</si>
  <si>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</si>
  <si>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</si>
  <si>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</si>
  <si>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</si>
  <si>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</si>
  <si>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</si>
  <si>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</si>
  <si>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</si>
  <si>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</si>
  <si>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</si>
  <si>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</si>
  <si>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</si>
  <si>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</si>
  <si>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</si>
  <si>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</si>
  <si>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</si>
  <si>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</si>
  <si>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</si>
  <si>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</si>
  <si>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</si>
  <si>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</si>
  <si>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</si>
  <si>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</si>
  <si>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</si>
  <si>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</si>
  <si>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</si>
  <si>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</si>
  <si>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</si>
  <si>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</si>
  <si>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</si>
  <si>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</si>
  <si>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</si>
  <si>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</si>
  <si>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</si>
  <si>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</si>
  <si>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</si>
  <si>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</si>
  <si>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</si>
  <si>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</si>
  <si>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</si>
  <si>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</si>
  <si>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</si>
  <si>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</si>
  <si>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</si>
  <si>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</si>
  <si>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</si>
  <si>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</si>
  <si>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</si>
  <si>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</si>
  <si>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</si>
  <si>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</si>
  <si>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</si>
  <si>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</si>
  <si>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</si>
  <si>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</si>
  <si>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</si>
  <si>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</si>
  <si>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</si>
  <si>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</si>
  <si>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</si>
  <si>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</si>
  <si>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</si>
  <si>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</si>
  <si>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</si>
  <si>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</si>
  <si>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</si>
  <si>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</si>
  <si>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</si>
  <si>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</si>
  <si>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</si>
  <si>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</si>
  <si>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</si>
  <si>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</si>
  <si>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</si>
  <si>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</si>
  <si>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</si>
  <si>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</si>
  <si>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</si>
  <si>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</si>
  <si>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</si>
  <si>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</si>
  <si>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</si>
  <si>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</si>
  <si>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</si>
  <si>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</si>
  <si>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</si>
  <si>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</si>
  <si>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</si>
  <si>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</si>
  <si>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</si>
  <si>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</si>
  <si>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</si>
  <si>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</si>
  <si>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</si>
  <si>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</si>
  <si>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</si>
  <si>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</si>
  <si>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</si>
  <si>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</si>
  <si>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</si>
  <si>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</si>
  <si>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</si>
  <si>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</si>
  <si>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</si>
  <si>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</si>
  <si>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</si>
  <si>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</si>
  <si>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</si>
  <si>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</si>
  <si>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</si>
  <si>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</si>
  <si>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</si>
  <si>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</si>
  <si>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</si>
  <si>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</si>
  <si>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</si>
  <si>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</si>
  <si>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</si>
  <si>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</si>
  <si>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</si>
  <si>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</si>
  <si>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</si>
  <si>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</si>
  <si>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</si>
  <si>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</si>
  <si>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</si>
  <si>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</si>
  <si>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</si>
  <si>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</si>
  <si>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</si>
  <si>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</si>
  <si>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</si>
  <si>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</si>
  <si>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</si>
  <si>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</si>
  <si>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</si>
  <si>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</si>
  <si>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</si>
  <si>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</si>
  <si>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</si>
  <si>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</si>
  <si>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</si>
  <si>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</si>
  <si>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</si>
  <si>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</si>
  <si>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</si>
  <si>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</si>
  <si>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</si>
  <si>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</si>
  <si>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</si>
  <si>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</si>
  <si>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</si>
  <si>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</si>
  <si>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</si>
  <si>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</si>
  <si>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</si>
  <si>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</si>
  <si>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</si>
  <si>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</si>
  <si>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</si>
  <si>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</si>
  <si>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</si>
  <si>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</si>
  <si>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</si>
  <si>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</si>
  <si>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</si>
  <si>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</si>
  <si>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</si>
  <si>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</si>
  <si>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</si>
  <si>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</si>
  <si>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</si>
  <si>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</si>
  <si>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</si>
  <si>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</si>
  <si>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</si>
  <si>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</si>
  <si>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</si>
  <si>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</si>
  <si>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</si>
  <si>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</si>
  <si>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</si>
  <si>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</si>
  <si>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</si>
  <si>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</si>
  <si>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</si>
  <si>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</si>
  <si>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</si>
  <si>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</si>
  <si>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</si>
  <si>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</si>
  <si>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</si>
  <si>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</si>
  <si>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</si>
  <si>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</si>
  <si>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</si>
  <si>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</si>
  <si>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</si>
  <si>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</si>
  <si>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</si>
  <si>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</si>
  <si>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</si>
  <si>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</si>
  <si>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</si>
  <si>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</si>
  <si>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</si>
  <si>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</si>
  <si>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</si>
  <si>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</si>
  <si>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</si>
  <si>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</si>
  <si>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</si>
  <si>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</si>
  <si>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</si>
  <si>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</si>
  <si>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</si>
  <si>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</si>
  <si>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</si>
  <si>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</si>
  <si>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</si>
  <si>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</si>
  <si>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</si>
  <si>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</si>
  <si>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</si>
  <si>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</si>
  <si>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</si>
  <si>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</si>
  <si>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</si>
  <si>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</si>
  <si>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</si>
  <si>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</si>
  <si>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</si>
  <si>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</si>
  <si>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</si>
  <si>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</si>
  <si>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</si>
  <si>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</si>
  <si>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</si>
  <si>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</si>
  <si>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</si>
  <si>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</si>
  <si>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</si>
  <si>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</si>
  <si>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</si>
  <si>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</si>
  <si>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</si>
  <si>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</si>
  <si>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</si>
  <si>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</si>
  <si>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</si>
  <si>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</si>
  <si>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</si>
  <si>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</si>
  <si>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</si>
  <si>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</si>
  <si>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</si>
  <si>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</si>
  <si>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</si>
  <si>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</si>
  <si>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</si>
  <si>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</si>
  <si>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</si>
  <si>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</si>
  <si>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</si>
  <si>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</si>
  <si>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</si>
  <si>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</si>
  <si>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</si>
  <si>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</si>
  <si>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</si>
  <si>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</si>
  <si>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</si>
  <si>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</si>
  <si>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</si>
  <si>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</si>
  <si>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</si>
  <si>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</si>
  <si>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</si>
  <si>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</si>
  <si>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</si>
  <si>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</si>
  <si>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</si>
  <si>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</si>
  <si>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</si>
  <si>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</si>
  <si>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</si>
  <si>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</si>
  <si>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</si>
  <si>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</si>
  <si>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</si>
  <si>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</si>
  <si>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</si>
  <si>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</si>
  <si>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</si>
  <si>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</si>
  <si>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</si>
  <si>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</si>
  <si>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</si>
  <si>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</si>
  <si>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</si>
  <si>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</si>
  <si>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</si>
  <si>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</si>
  <si>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</si>
  <si>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</si>
  <si>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</si>
  <si>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</si>
  <si>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</si>
  <si>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</si>
  <si>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</si>
  <si>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</si>
  <si>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</si>
  <si>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</si>
  <si>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</si>
  <si>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</si>
  <si>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</si>
  <si>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</si>
  <si>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</si>
  <si>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</si>
  <si>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</si>
  <si>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</si>
  <si>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</si>
  <si>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</si>
  <si>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</si>
  <si>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</si>
  <si>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</si>
  <si>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</si>
  <si>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</si>
  <si>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</si>
  <si>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</si>
  <si>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</si>
  <si>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</si>
  <si>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</si>
  <si>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</si>
  <si>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</si>
  <si>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</si>
  <si>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</si>
  <si>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</si>
  <si>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</si>
  <si>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</si>
  <si>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</si>
  <si>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</si>
  <si>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</si>
  <si>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</si>
  <si>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</si>
  <si>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</si>
  <si>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</si>
  <si>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</si>
  <si>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</si>
  <si>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</si>
  <si>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</si>
  <si>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</si>
  <si>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</si>
  <si>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</si>
  <si>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</si>
  <si>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</si>
  <si>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</si>
  <si>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</si>
  <si>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</si>
  <si>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</si>
  <si>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</si>
  <si>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</si>
  <si>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</si>
  <si>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</si>
  <si>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</si>
  <si>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</si>
  <si>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</si>
  <si>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</si>
  <si>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</si>
  <si>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</si>
  <si>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</si>
  <si>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</si>
  <si>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</si>
  <si>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</si>
  <si>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</si>
  <si>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</si>
  <si>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</si>
  <si>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</si>
  <si>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</si>
  <si>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</si>
  <si>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</si>
  <si>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</si>
  <si>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</si>
  <si>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</si>
  <si>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</si>
  <si>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</si>
  <si>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</si>
  <si>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</si>
  <si>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</si>
  <si>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</si>
  <si>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</si>
  <si>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</si>
  <si>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</si>
  <si>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</si>
  <si>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</si>
  <si>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</si>
  <si>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</si>
  <si>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</si>
  <si>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</si>
  <si>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</si>
  <si>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</si>
  <si>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</si>
  <si>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</si>
  <si>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</si>
  <si>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</si>
  <si>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</si>
  <si>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</si>
  <si>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</si>
  <si>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</si>
  <si>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</si>
  <si>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</si>
  <si>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</si>
  <si>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</si>
  <si>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</si>
  <si>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</si>
  <si>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</si>
  <si>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</si>
  <si>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</si>
  <si>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</si>
  <si>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</si>
  <si>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</si>
  <si>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</si>
  <si>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</si>
  <si>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</si>
  <si>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</si>
  <si>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</si>
  <si>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</si>
  <si>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</si>
  <si>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</si>
  <si>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</si>
  <si>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</si>
  <si>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</si>
  <si>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</si>
  <si>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</si>
  <si>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</si>
  <si>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</si>
  <si>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</si>
  <si>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</si>
  <si>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</si>
  <si>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</si>
  <si>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</si>
  <si>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</si>
  <si>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</si>
  <si>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</si>
  <si>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</si>
  <si>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</si>
  <si>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</si>
  <si>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</si>
  <si>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</si>
  <si>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</si>
  <si>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</si>
  <si>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</si>
  <si>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</si>
  <si>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</si>
  <si>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</si>
  <si>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</si>
  <si>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</si>
  <si>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</si>
  <si>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</si>
  <si>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</si>
  <si>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</si>
  <si>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</si>
  <si>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</si>
  <si>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</si>
  <si>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</si>
  <si>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</si>
  <si>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</si>
  <si>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</si>
  <si>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</si>
  <si>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</si>
  <si>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</si>
  <si>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</si>
  <si>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</si>
  <si>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</si>
  <si>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</si>
  <si>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</si>
  <si>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</si>
  <si>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</si>
  <si>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</si>
  <si>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</si>
  <si>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</si>
  <si>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</si>
  <si>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</si>
  <si>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</si>
  <si>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</si>
  <si>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</si>
  <si>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</si>
  <si>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</si>
  <si>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</si>
  <si>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</si>
  <si>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</si>
  <si>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</si>
  <si>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</si>
  <si>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</si>
  <si>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</si>
  <si>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</si>
  <si>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</si>
  <si>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</si>
  <si>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</si>
  <si>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</si>
  <si>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</si>
  <si>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</si>
  <si>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</si>
  <si>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</si>
  <si>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</si>
  <si>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</si>
  <si>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</si>
  <si>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</si>
  <si>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</si>
  <si>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</si>
  <si>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</si>
  <si>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</si>
  <si>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</si>
  <si>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</si>
  <si>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</si>
  <si>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</si>
  <si>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</si>
  <si>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</si>
  <si>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</si>
  <si>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</si>
  <si>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</si>
  <si>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</si>
  <si>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</si>
  <si>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</si>
  <si>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</si>
  <si>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</si>
  <si>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</si>
  <si>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</si>
  <si>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</si>
  <si>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</si>
  <si>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</si>
  <si>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</si>
  <si>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</si>
  <si>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</si>
  <si>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</si>
  <si>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</si>
  <si>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</si>
  <si>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</si>
  <si>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</si>
  <si>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</si>
  <si>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</si>
  <si>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</si>
  <si>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</si>
  <si>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</si>
  <si>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</si>
  <si>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</si>
  <si>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</si>
  <si>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</si>
  <si>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</si>
  <si>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</si>
  <si>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</si>
  <si>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</si>
  <si>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</si>
  <si>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</si>
  <si>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</si>
  <si>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</si>
  <si>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</si>
  <si>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</si>
  <si>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</si>
  <si>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</si>
  <si>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</si>
  <si>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</si>
  <si>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</si>
  <si>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</si>
  <si>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</si>
  <si>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</si>
  <si>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</si>
  <si>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</si>
  <si>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</si>
  <si>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</si>
  <si>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</si>
  <si>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</si>
  <si>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</si>
  <si>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</si>
  <si>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</si>
  <si>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</si>
  <si>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</si>
  <si>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</si>
  <si>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</si>
  <si>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</si>
  <si>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</si>
  <si>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</si>
  <si>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</si>
  <si>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</si>
  <si>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</si>
  <si>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</si>
  <si>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</si>
  <si>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</si>
  <si>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</si>
  <si>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</si>
  <si>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</si>
  <si>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</si>
  <si>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</si>
  <si>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</si>
  <si>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</si>
  <si>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</si>
  <si>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</si>
  <si>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</si>
  <si>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</si>
  <si>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</si>
  <si>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</si>
  <si>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</si>
  <si>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</si>
  <si>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</si>
  <si>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</si>
  <si>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</si>
  <si>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</si>
  <si>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</si>
  <si>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</si>
  <si>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</si>
  <si>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</si>
  <si>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</si>
  <si>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</si>
  <si>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</si>
  <si>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</si>
  <si>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</si>
  <si>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</si>
  <si>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</si>
  <si>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</si>
  <si>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</si>
  <si>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</si>
  <si>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</si>
  <si>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</si>
  <si>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</si>
  <si>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</si>
  <si>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</si>
  <si>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</si>
  <si>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</si>
  <si>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</si>
  <si>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</si>
  <si>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</si>
  <si>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</si>
  <si>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</si>
  <si>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</si>
  <si>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</si>
  <si>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</si>
  <si>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</si>
  <si>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</si>
  <si>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</si>
  <si>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</si>
  <si>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</si>
  <si>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</si>
  <si>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</si>
  <si>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</si>
  <si>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</si>
  <si>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</si>
  <si>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</si>
  <si>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</si>
  <si>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</si>
  <si>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</si>
  <si>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</si>
  <si>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</si>
  <si>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</si>
  <si>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</si>
  <si>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</si>
  <si>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</si>
  <si>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</si>
  <si>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</si>
  <si>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</si>
  <si>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</si>
  <si>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</si>
  <si>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</si>
  <si>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</si>
  <si>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</si>
  <si>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</si>
  <si>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</si>
  <si>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</si>
  <si>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</si>
  <si>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</si>
  <si>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</si>
  <si>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</si>
  <si>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</si>
  <si>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</si>
  <si>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</si>
  <si>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</si>
  <si>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</si>
  <si>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</si>
  <si>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</si>
  <si>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</si>
  <si>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</si>
  <si>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</si>
  <si>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</si>
  <si>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</si>
  <si>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</si>
  <si>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</si>
  <si>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</si>
  <si>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</si>
  <si>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</si>
  <si>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</si>
  <si>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</si>
  <si>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</si>
  <si>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</si>
  <si>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</si>
  <si>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</si>
  <si>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</si>
  <si>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</si>
  <si>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</si>
  <si>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</si>
  <si>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</si>
  <si>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</si>
  <si>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</si>
  <si>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</si>
  <si>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</si>
  <si>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</si>
  <si>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</si>
  <si>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</si>
  <si>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</si>
  <si>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</si>
  <si>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</si>
  <si>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</si>
  <si>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</si>
  <si>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</si>
  <si>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</si>
  <si>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</si>
  <si>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</si>
  <si>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</si>
  <si>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</si>
  <si>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</si>
  <si>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</si>
  <si>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</si>
  <si>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</si>
  <si>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</si>
  <si>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</si>
  <si>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</si>
  <si>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</si>
  <si>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</si>
  <si>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</si>
  <si>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</si>
  <si>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</si>
  <si>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</si>
  <si>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</si>
  <si>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</si>
  <si>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</si>
  <si>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</si>
  <si>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</si>
  <si>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</si>
  <si>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</si>
  <si>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</si>
  <si>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</si>
  <si>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</si>
  <si>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</si>
  <si>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</si>
  <si>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</si>
  <si>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</si>
  <si>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</si>
  <si>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</si>
  <si>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</si>
  <si>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</si>
  <si>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</si>
  <si>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</si>
  <si>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</si>
  <si>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</si>
  <si>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</si>
  <si>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</si>
  <si>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</si>
  <si>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</si>
  <si>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</si>
  <si>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</si>
  <si>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</si>
  <si>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</si>
  <si>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</si>
  <si>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</si>
  <si>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</si>
  <si>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</si>
  <si>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</si>
  <si>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</si>
  <si>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</si>
  <si>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</si>
  <si>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</si>
  <si>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</si>
  <si>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</si>
  <si>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</si>
  <si>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</si>
  <si>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</si>
  <si>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</si>
  <si>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</si>
  <si>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</si>
  <si>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</si>
  <si>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</si>
  <si>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</si>
  <si>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</si>
  <si>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</si>
  <si>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</si>
  <si>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</si>
  <si>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</si>
  <si>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</si>
  <si>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</si>
  <si>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</si>
  <si>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</si>
  <si>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</si>
  <si>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</si>
  <si>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</si>
  <si>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</si>
  <si>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</si>
  <si>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</si>
  <si>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</si>
  <si>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</si>
  <si>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</si>
  <si>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</si>
  <si>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</si>
  <si>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</si>
  <si>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</si>
  <si>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</si>
  <si>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</si>
  <si>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</si>
  <si>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</si>
  <si>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</si>
  <si>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</si>
  <si>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</si>
  <si>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</si>
  <si>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</si>
  <si>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</si>
  <si>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</si>
  <si>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</si>
  <si>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</si>
  <si>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</si>
  <si>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</si>
  <si>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</si>
  <si>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</si>
  <si>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</si>
  <si>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</si>
  <si>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</si>
  <si>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</si>
  <si>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</si>
  <si>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</si>
  <si>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</si>
  <si>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</si>
  <si>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</si>
  <si>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</si>
  <si>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</si>
  <si>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</si>
  <si>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</si>
  <si>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</si>
  <si>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</si>
  <si>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</si>
  <si>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</si>
  <si>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</si>
  <si>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</si>
  <si>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</si>
  <si>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</si>
  <si>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</si>
  <si>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</si>
  <si>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</si>
  <si>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</si>
  <si>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</si>
  <si>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</si>
  <si>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</si>
  <si>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</si>
  <si>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</si>
  <si>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</si>
  <si>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</si>
  <si>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</si>
  <si>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</si>
  <si>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</si>
  <si>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</si>
  <si>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</si>
  <si>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</si>
  <si>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</si>
  <si>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</si>
  <si>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</si>
  <si>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</si>
  <si>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</si>
  <si>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</si>
  <si>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</si>
  <si>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</si>
  <si>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</si>
  <si>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</si>
  <si>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</si>
  <si>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</si>
  <si>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</si>
  <si>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</si>
  <si>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</si>
  <si>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</si>
  <si>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</si>
  <si>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</si>
  <si>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</si>
  <si>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</si>
  <si>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</si>
  <si>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</si>
  <si>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</si>
  <si>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</si>
  <si>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</si>
  <si>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</si>
  <si>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</si>
  <si>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</si>
  <si>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</si>
  <si>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</si>
  <si>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</si>
  <si>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</si>
  <si>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</si>
  <si>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</si>
  <si>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</si>
  <si>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</si>
  <si>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</si>
  <si>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</si>
  <si>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</si>
  <si>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</si>
  <si>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</si>
  <si>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</si>
  <si>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</si>
  <si>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</si>
  <si>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</si>
  <si>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</si>
  <si>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</si>
  <si>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</si>
  <si>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</si>
  <si>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</si>
  <si>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</si>
  <si>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</si>
  <si>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</si>
  <si>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</si>
  <si>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</si>
  <si>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</si>
  <si>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</si>
  <si>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</si>
  <si>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</si>
  <si>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</si>
  <si>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</si>
  <si>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</si>
  <si>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</si>
  <si>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</si>
  <si>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</si>
  <si>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</si>
  <si>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</si>
  <si>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</si>
  <si>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</si>
  <si>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</si>
  <si>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</si>
  <si>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</si>
  <si>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</si>
  <si>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</si>
  <si>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</si>
  <si>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</si>
  <si>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</si>
  <si>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</si>
  <si>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</si>
  <si>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</si>
  <si>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</si>
  <si>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</si>
  <si>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</si>
  <si>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</si>
  <si>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</si>
  <si>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</si>
  <si>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</si>
  <si>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</si>
  <si>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</si>
  <si>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</si>
  <si>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</si>
  <si>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</si>
  <si>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</si>
  <si>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</si>
  <si>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</si>
  <si>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</si>
  <si>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</si>
  <si>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</si>
  <si>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</si>
  <si>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</si>
  <si>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</si>
  <si>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</si>
  <si>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</si>
  <si>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</si>
  <si>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</si>
  <si>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</si>
  <si>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</si>
  <si>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</si>
  <si>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</si>
  <si>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</si>
  <si>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</si>
  <si>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</si>
  <si>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</si>
  <si>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</si>
  <si>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</si>
  <si>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</si>
  <si>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</si>
  <si>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</si>
  <si>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</si>
  <si>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</si>
  <si>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</si>
  <si>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</si>
  <si>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</si>
  <si>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</si>
  <si>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</si>
  <si>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</si>
  <si>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</si>
  <si>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</si>
  <si>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</si>
  <si>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</si>
  <si>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</si>
  <si>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</si>
  <si>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</si>
  <si>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</si>
  <si>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</si>
  <si>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</si>
  <si>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</si>
  <si>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</si>
  <si>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</si>
  <si>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</si>
  <si>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</si>
  <si>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</si>
  <si>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</si>
  <si>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</si>
  <si>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</si>
  <si>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</si>
  <si>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</si>
  <si>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</si>
  <si>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</si>
  <si>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</si>
  <si>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</si>
  <si>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</si>
  <si>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</si>
  <si>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</si>
  <si>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</si>
  <si>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</si>
  <si>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</si>
  <si>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</si>
  <si>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</si>
  <si>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</si>
  <si>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</si>
  <si>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</si>
  <si>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</si>
  <si>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</si>
  <si>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</si>
  <si>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</si>
  <si>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</si>
  <si>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</si>
  <si>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</si>
  <si>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</si>
  <si>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</si>
  <si>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</si>
  <si>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</si>
  <si>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</si>
  <si>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</si>
  <si>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</si>
  <si>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</si>
  <si>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</si>
  <si>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</si>
  <si>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</si>
  <si>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</si>
  <si>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</si>
  <si>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</si>
  <si>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</si>
  <si>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</si>
  <si>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</si>
  <si>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</si>
  <si>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</si>
  <si>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</si>
  <si>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</si>
  <si>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</si>
  <si>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</si>
  <si>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</si>
  <si>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</si>
  <si>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</si>
  <si>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</si>
  <si>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</si>
  <si>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</si>
  <si>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</si>
  <si>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</si>
  <si>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</si>
  <si>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</si>
  <si>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</si>
  <si>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</si>
  <si>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</si>
  <si>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</si>
  <si>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</si>
  <si>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</si>
  <si>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</si>
  <si>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</si>
  <si>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</si>
  <si>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</si>
  <si>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</si>
  <si>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</si>
  <si>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</si>
  <si>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</si>
  <si>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</si>
  <si>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</si>
  <si>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</si>
  <si>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</si>
  <si>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</si>
  <si>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</si>
  <si>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</si>
  <si>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</si>
  <si>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</si>
  <si>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</si>
  <si>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</si>
  <si>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</si>
  <si>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</si>
  <si>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</si>
  <si>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</si>
  <si>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</si>
  <si>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</si>
  <si>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</si>
  <si>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</si>
  <si>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</si>
  <si>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</si>
  <si>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</si>
  <si>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</si>
  <si>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</si>
  <si>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</si>
  <si>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</si>
  <si>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</si>
  <si>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</si>
  <si>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</si>
  <si>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</si>
  <si>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</si>
  <si>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</si>
  <si>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</si>
  <si>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</si>
  <si>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</si>
  <si>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</si>
  <si>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</si>
  <si>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</si>
  <si>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</si>
  <si>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</si>
  <si>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</si>
  <si>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</si>
  <si>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</si>
  <si>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</si>
  <si>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</si>
  <si>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</si>
  <si>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</si>
  <si>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</si>
  <si>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</si>
  <si>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</si>
  <si>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</si>
  <si>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</si>
  <si>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</si>
  <si>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</si>
  <si>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</si>
  <si>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</si>
  <si>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</si>
  <si>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</si>
  <si>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</si>
  <si>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</si>
  <si>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</si>
  <si>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</si>
  <si>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</si>
  <si>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</si>
  <si>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</si>
  <si>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</si>
  <si>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</si>
  <si>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</si>
  <si>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</si>
  <si>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</si>
  <si>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</si>
  <si>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</si>
  <si>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</si>
  <si>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</si>
  <si>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</si>
  <si>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</si>
  <si>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</si>
  <si>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</si>
  <si>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</si>
  <si>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</si>
  <si>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</si>
  <si>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</si>
  <si>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</si>
  <si>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</si>
  <si>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</si>
  <si>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</si>
  <si>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</si>
  <si>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</si>
  <si>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</si>
  <si>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</si>
  <si>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</si>
  <si>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</si>
  <si>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</si>
  <si>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</si>
  <si>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</si>
  <si>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</si>
  <si>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</si>
  <si>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</si>
  <si>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</si>
  <si>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</si>
  <si>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</si>
  <si>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</si>
  <si>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</si>
  <si>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</si>
  <si>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</si>
  <si>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</si>
  <si>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</si>
  <si>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</si>
  <si>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</si>
  <si>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</si>
  <si>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</si>
  <si>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</si>
  <si>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</si>
  <si>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</si>
  <si>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</si>
  <si>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</si>
  <si>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</si>
  <si>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</si>
  <si>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</si>
  <si>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</si>
  <si>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</si>
  <si>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</si>
  <si>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</si>
  <si>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</si>
  <si>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</si>
  <si>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</si>
  <si>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</si>
  <si>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</si>
  <si>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</si>
  <si>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</si>
  <si>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</si>
  <si>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</si>
  <si>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</si>
  <si>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</si>
  <si>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</si>
  <si>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</si>
  <si>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</si>
  <si>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</si>
  <si>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</si>
  <si>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</si>
  <si>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</si>
  <si>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</si>
  <si>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</si>
  <si>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</si>
  <si>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</si>
  <si>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</si>
  <si>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</si>
  <si>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</si>
  <si>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</si>
  <si>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</si>
  <si>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</si>
  <si>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</si>
  <si>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</si>
  <si>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</si>
  <si>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</si>
  <si>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</si>
  <si>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</si>
  <si>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</si>
  <si>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</si>
  <si>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</si>
  <si>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</si>
  <si>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</si>
  <si>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</si>
  <si>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</si>
  <si>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</si>
  <si>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</si>
  <si>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</si>
  <si>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</si>
  <si>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</si>
  <si>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</si>
  <si>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</si>
  <si>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</si>
  <si>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</si>
  <si>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</si>
  <si>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</si>
  <si>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</si>
  <si>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</si>
  <si>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</si>
  <si>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</si>
  <si>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</si>
  <si>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</si>
  <si>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</si>
  <si>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</si>
  <si>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</si>
  <si>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</si>
  <si>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</si>
  <si>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</si>
  <si>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</si>
  <si>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</si>
  <si>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</si>
  <si>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</si>
  <si>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</si>
  <si>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</si>
  <si>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</si>
  <si>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</si>
  <si>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</si>
  <si>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</si>
  <si>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</si>
  <si>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</si>
  <si>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</si>
  <si>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</si>
  <si>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</si>
  <si>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</si>
  <si>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</si>
  <si>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</si>
  <si>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</si>
  <si>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</si>
  <si>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</si>
  <si>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</si>
  <si>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</si>
  <si>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</si>
  <si>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</si>
  <si>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</si>
  <si>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</si>
  <si>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</si>
  <si>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</si>
  <si>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</si>
  <si>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</si>
  <si>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</si>
  <si>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</si>
  <si>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</si>
  <si>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</si>
  <si>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</si>
  <si>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</si>
  <si>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</si>
  <si>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</si>
  <si>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</si>
  <si>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</si>
  <si>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</si>
  <si>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</si>
  <si>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</si>
  <si>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</si>
  <si>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</si>
  <si>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</si>
  <si>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</si>
  <si>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</si>
  <si>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</si>
  <si>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</si>
  <si>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</si>
  <si>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</si>
  <si>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</si>
  <si>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</si>
  <si>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</si>
  <si>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</si>
  <si>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</si>
  <si>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</si>
  <si>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</si>
  <si>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</si>
  <si>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</si>
  <si>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</si>
  <si>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</si>
  <si>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</si>
  <si>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</si>
  <si>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</si>
  <si>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</si>
  <si>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</si>
  <si>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</si>
  <si>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</si>
  <si>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</si>
  <si>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</si>
  <si>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</si>
  <si>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</si>
  <si>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</si>
  <si>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</si>
  <si>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</si>
  <si>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</si>
  <si>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</si>
  <si>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</si>
  <si>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</si>
  <si>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</si>
  <si>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</si>
  <si>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</si>
  <si>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</si>
  <si>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</si>
  <si>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</si>
  <si>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</si>
  <si>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</si>
  <si>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</si>
  <si>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</si>
  <si>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</si>
  <si>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</si>
  <si>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</si>
  <si>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</si>
  <si>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</si>
  <si>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</si>
  <si>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</si>
  <si>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</si>
  <si>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</si>
  <si>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</si>
  <si>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</si>
  <si>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</si>
  <si>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</si>
  <si>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</si>
  <si>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</si>
  <si>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</si>
  <si>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</si>
  <si>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</si>
  <si>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</si>
  <si>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</si>
  <si>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</si>
  <si>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</si>
  <si>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</si>
  <si>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</si>
  <si>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</si>
  <si>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</si>
  <si>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</si>
  <si>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</si>
  <si>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</si>
  <si>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</si>
  <si>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</si>
  <si>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</si>
  <si>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</si>
  <si>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</si>
  <si>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</si>
  <si>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</si>
  <si>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</si>
  <si>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</si>
  <si>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</si>
  <si>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</si>
  <si>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</si>
  <si>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</si>
  <si>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</si>
  <si>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</si>
  <si>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</si>
  <si>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</si>
  <si>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</si>
  <si>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</si>
  <si>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</si>
  <si>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</si>
  <si>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</si>
  <si>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</si>
  <si>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</si>
  <si>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</si>
  <si>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</si>
  <si>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</si>
  <si>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</si>
  <si>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</si>
  <si>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</si>
  <si>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</si>
  <si>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</si>
  <si>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</si>
  <si>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</si>
  <si>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</si>
  <si>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</si>
  <si>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</si>
  <si>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</si>
  <si>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</si>
  <si>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</si>
  <si>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</si>
  <si>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</si>
  <si>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</si>
  <si>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</si>
  <si>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</si>
  <si>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</si>
  <si>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</si>
  <si>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</si>
  <si>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</si>
  <si>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</si>
  <si>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</si>
  <si>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</si>
  <si>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</si>
  <si>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</si>
  <si>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</si>
  <si>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</si>
  <si>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</si>
  <si>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</si>
  <si>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</si>
  <si>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</si>
  <si>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</si>
  <si>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</si>
  <si>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</si>
  <si>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</si>
  <si>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</si>
  <si>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</si>
  <si>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</si>
  <si>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</si>
  <si>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</si>
  <si>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</si>
  <si>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</si>
  <si>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</si>
  <si>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</si>
  <si>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</si>
  <si>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</si>
  <si>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</si>
  <si>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</si>
  <si>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</si>
  <si>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</si>
  <si>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</si>
  <si>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</si>
  <si>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</si>
  <si>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</si>
  <si>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</si>
  <si>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</si>
  <si>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</si>
  <si>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</si>
  <si>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</si>
  <si>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</si>
  <si>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</si>
  <si>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</si>
  <si>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</si>
  <si>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</si>
  <si>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</si>
  <si>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</si>
  <si>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</si>
  <si>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</si>
  <si>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</si>
  <si>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</si>
  <si>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</si>
  <si>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</si>
  <si>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</si>
  <si>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</si>
  <si>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</si>
  <si>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</si>
  <si>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</si>
  <si>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</si>
  <si>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</si>
  <si>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</si>
  <si>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</si>
  <si>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</si>
  <si>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</si>
  <si>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</si>
  <si>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</si>
  <si>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</si>
  <si>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</si>
  <si>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</si>
  <si>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</si>
  <si>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</si>
  <si>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</si>
  <si>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</si>
  <si>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</si>
  <si>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</si>
  <si>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</si>
  <si>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</si>
  <si>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</si>
  <si>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</si>
  <si>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</si>
  <si>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</si>
  <si>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</si>
  <si>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</si>
  <si>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</si>
  <si>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</si>
  <si>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</si>
  <si>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</si>
  <si>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</si>
  <si>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</si>
  <si>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</si>
  <si>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</si>
  <si>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</si>
  <si>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</si>
  <si>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</si>
  <si>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</si>
  <si>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</si>
  <si>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</si>
  <si>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</si>
  <si>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</si>
  <si>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</si>
  <si>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</si>
  <si>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</si>
  <si>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</si>
  <si>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</si>
  <si>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</si>
  <si>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</si>
  <si>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</si>
  <si>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</si>
  <si>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</si>
  <si>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</si>
  <si>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</si>
  <si>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</si>
  <si>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</si>
  <si>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</si>
  <si>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</si>
  <si>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</si>
  <si>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</si>
  <si>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</si>
  <si>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</si>
  <si>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</si>
  <si>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</si>
  <si>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</si>
  <si>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</si>
  <si>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</si>
  <si>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</si>
  <si>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</si>
  <si>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</si>
  <si>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</si>
  <si>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</si>
  <si>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</si>
  <si>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</si>
  <si>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</si>
  <si>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</si>
  <si>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</si>
  <si>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</si>
  <si>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</si>
  <si>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</si>
  <si>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</si>
  <si>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</si>
  <si>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</si>
  <si>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</si>
  <si>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</si>
  <si>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</si>
  <si>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</si>
  <si>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</si>
  <si>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</si>
  <si>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</si>
  <si>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</si>
  <si>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</si>
  <si>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</si>
  <si>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</si>
  <si>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</si>
  <si>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</si>
  <si>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</si>
  <si>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</si>
  <si>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</si>
  <si>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</si>
  <si>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</si>
  <si>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</si>
  <si>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</si>
  <si>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</si>
  <si>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</si>
  <si>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</si>
  <si>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</si>
  <si>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</si>
  <si>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</si>
  <si>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</si>
  <si>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</si>
  <si>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</si>
  <si>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</si>
  <si>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</si>
  <si>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</si>
  <si>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</si>
  <si>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</si>
  <si>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</si>
  <si>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</si>
  <si>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</si>
  <si>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</si>
  <si>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</si>
  <si>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</si>
  <si>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</si>
  <si>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</si>
  <si>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</si>
  <si>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</si>
  <si>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</si>
  <si>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</si>
  <si>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</si>
  <si>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</si>
  <si>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</si>
  <si>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</si>
  <si>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</si>
  <si>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</si>
  <si>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</si>
  <si>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</si>
  <si>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</si>
  <si>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</si>
  <si>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</si>
  <si>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</si>
  <si>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</si>
  <si>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</si>
  <si>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</si>
  <si>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</si>
  <si>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</si>
  <si>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</si>
  <si>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</si>
  <si>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</si>
  <si>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</si>
  <si>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</si>
  <si>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</si>
  <si>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抵押</t>
  </si>
  <si>
    <t>房地产抵押价值</t>
  </si>
  <si>
    <t>其他：</t>
  </si>
  <si>
    <t>企业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</si>
  <si>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</si>
  <si>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</si>
  <si>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</si>
  <si>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</si>
  <si>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</si>
  <si>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</si>
  <si>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</si>
  <si>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</si>
  <si>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</si>
  <si>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</si>
  <si>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</si>
  <si>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</si>
  <si>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</si>
  <si>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龙德道以南、春和路以东</t>
  </si>
  <si>
    <t>廊坊市</t>
  </si>
  <si>
    <t>工业用地</t>
  </si>
  <si>
    <t>≥1且≤2</t>
  </si>
  <si>
    <t>拍卖</t>
  </si>
  <si>
    <t>2017-12-27</t>
  </si>
  <si>
    <t>廊坊市亿果机械有限公司</t>
  </si>
  <si>
    <t>春和路以西、龙德道以南</t>
  </si>
  <si>
    <t>廊坊市纳新科技发展有限公司</t>
  </si>
  <si>
    <t>纬五道北侧、经八路东侧</t>
  </si>
  <si>
    <t>≥1.2</t>
  </si>
  <si>
    <t>廊坊华安盛翔汽车科技有限公司</t>
  </si>
  <si>
    <t>创业路东侧、丁香道北侧</t>
    <phoneticPr fontId="3" type="noConversion"/>
  </si>
  <si>
    <t>≥0.8</t>
  </si>
  <si>
    <t>索菲亚家居(廊坊)有限公司</t>
  </si>
  <si>
    <t>龙德道以北,凤阳路以西</t>
  </si>
  <si>
    <t>2017-10-17</t>
  </si>
  <si>
    <t>廊坊市中加新兴空天科技发展有限公司</t>
  </si>
  <si>
    <t>凤翔路以东,春和路以西</t>
  </si>
  <si>
    <t>≥1</t>
  </si>
  <si>
    <t>康得复合材料有限公司</t>
  </si>
  <si>
    <t>纬五道北侧,经七路东侧,经八路西侧</t>
  </si>
  <si>
    <t>廊坊骏迪物流有限公司</t>
  </si>
  <si>
    <t>丰和道以南,明德路以西</t>
  </si>
  <si>
    <t>2017-06-19</t>
  </si>
  <si>
    <t>三谛增材制造(廊坊)有限公司</t>
  </si>
  <si>
    <t>2017-04-13</t>
  </si>
  <si>
    <t>罗美雅酒业发展(廊坊)有限公司</t>
  </si>
  <si>
    <t>廊坊联合重工制造有限公司南侧、官东路西侧</t>
  </si>
  <si>
    <t>≥1.1</t>
  </si>
  <si>
    <t>2017-03-14</t>
  </si>
  <si>
    <t>热景(廊坊)生物技术有限公司</t>
  </si>
  <si>
    <t>芙蓉道北侧、华恒科技公司东侧</t>
  </si>
  <si>
    <t>廊坊美食每刻餐饮有限公司</t>
  </si>
  <si>
    <t>长辛路东,木兰道南侧</t>
  </si>
  <si>
    <t>廊坊科信信息技术有限公司</t>
  </si>
  <si>
    <t>龙河高新区天高道北侧、汇智道以南、富甲路以西、富文道以东</t>
  </si>
  <si>
    <t>≥1且≤1.5</t>
  </si>
  <si>
    <t>2017-01-23</t>
  </si>
  <si>
    <t>廊坊市水气蓝德机械设备制造有限公司</t>
  </si>
  <si>
    <t>龙河高新区横八路以南、富甲路以西、地阔道以北</t>
  </si>
  <si>
    <t>廊坊市弘科房地产开发有限公司</t>
  </si>
  <si>
    <t>龙脊道以北,晨兴道以南</t>
  </si>
  <si>
    <t>2017-01-06</t>
  </si>
  <si>
    <t>廊坊康安仓储服务有限公司</t>
  </si>
  <si>
    <t>官东路西侧,小海子变电站北侧</t>
  </si>
  <si>
    <t>维特根(中国)机械有限公司</t>
  </si>
  <si>
    <t>龙河高新区日升道以南,富康道南段以东,富文道以西,月朗道以北</t>
  </si>
  <si>
    <t>中国核电工程有限公司</t>
  </si>
  <si>
    <t>康得复合材料有限责任公司</t>
  </si>
  <si>
    <t>中安信嘉华科技有限公司</t>
  </si>
  <si>
    <t>春和路以西,龙德道以南</t>
  </si>
  <si>
    <t>廊坊市精耕天下农业科技有限公司</t>
  </si>
  <si>
    <t>中储能科技有限公司</t>
  </si>
  <si>
    <t>友谊路西侧、九干渠东侧</t>
  </si>
  <si>
    <t>河北志晟信息技术股份有限公司</t>
  </si>
  <si>
    <t>友谊路东侧,爱民道北侧</t>
  </si>
  <si>
    <t>中热科(廊坊)环境科技开发有限公司</t>
  </si>
  <si>
    <t>楼庄路西侧,廊坊上方皮革有限公司用地北侧</t>
  </si>
  <si>
    <t>2016-12-16</t>
  </si>
  <si>
    <t>廊坊上方皮革制造有限公司</t>
  </si>
  <si>
    <t>祥云道北侧,锦华路东侧,万福路西侧</t>
  </si>
  <si>
    <t>≥1.0</t>
  </si>
  <si>
    <t>2016-09-14</t>
  </si>
  <si>
    <t>廊坊亚东锦路物流有限公司</t>
  </si>
  <si>
    <t>友谊路东侧,木兰道北侧</t>
  </si>
  <si>
    <t>廊坊精雕数控机床制造有限公司</t>
  </si>
  <si>
    <t>龙尊道以南,龙祥路以西</t>
  </si>
  <si>
    <t>2016-06-29</t>
  </si>
  <si>
    <t>河北汉诺实隐形眼镜有限公司</t>
  </si>
  <si>
    <t>龙河高新区天高道北侧</t>
  </si>
  <si>
    <t>大于或等于1并且小于或等于1.8</t>
  </si>
  <si>
    <t>2016-03-31</t>
  </si>
  <si>
    <t>廊坊市坤翔科技成果孵化有限公司</t>
  </si>
  <si>
    <t>廊坊广阳经济开发区内,庆祥道南侧、常盛路东侧</t>
  </si>
  <si>
    <t>大于或等于0.8并且小于或等于1.5</t>
  </si>
  <si>
    <t>2016-03-03</t>
  </si>
  <si>
    <t>廊坊市新奥车用燃气有限公司</t>
  </si>
  <si>
    <t>廊坊广阳经济开发区内,庆祥道北侧、伟业路西侧</t>
  </si>
  <si>
    <t>廊坊市佳途物流有限公司</t>
  </si>
  <si>
    <t>廊坊广阳经济开发区内,畅祥南道南侧、百强路东侧</t>
  </si>
  <si>
    <t>廊坊金润电气有限公司</t>
  </si>
  <si>
    <t>廊坊新兴产业示范区龙显道以南,通仁路以东</t>
  </si>
  <si>
    <t>大于或等于1</t>
  </si>
  <si>
    <t>2015-12-15</t>
  </si>
  <si>
    <t>廊坊市远卓科技有限公司</t>
  </si>
  <si>
    <t>廊坊新兴产业示范区龙显道以南,龙码南路以西</t>
  </si>
  <si>
    <t>大于或等于0.8</t>
  </si>
  <si>
    <t>中安信科技有限公司</t>
  </si>
  <si>
    <t>廊坊新兴产业示范区龙尊道以北,龙台路以西</t>
  </si>
  <si>
    <t>廊坊市安迪晓文新型建材有限公司</t>
  </si>
  <si>
    <t>杨税务乡大麻村</t>
  </si>
  <si>
    <t>2015-10-20</t>
  </si>
  <si>
    <t>廊坊市德全机械制造有限公司</t>
  </si>
  <si>
    <t>广阳产业聚集区内,物华道北侧</t>
  </si>
  <si>
    <t>廊坊市中科天源机械涂层有限公司</t>
  </si>
  <si>
    <t>广阳产业聚集区内,百强路以东,畅祥南道以北</t>
  </si>
  <si>
    <t>廊坊市海湾环保科技有限公司</t>
  </si>
  <si>
    <t>广阳产业聚集区内,庆祥道南侧,伟业路西侧</t>
  </si>
  <si>
    <t>廊坊市邦祝机械设备制造有限公司</t>
  </si>
  <si>
    <t>广阳产业聚集区内,旺盛路东侧,畅祥南道以北</t>
  </si>
  <si>
    <t>廊坊市吉宏印刷有限公司</t>
  </si>
  <si>
    <t>广阳产业聚集区内,庆祥道北侧,常盛路西侧</t>
  </si>
  <si>
    <t>廊坊市坤腾机械制造有限公司</t>
  </si>
  <si>
    <t>大于等于0.8</t>
  </si>
  <si>
    <t>2015-07-30</t>
  </si>
  <si>
    <t>廊坊市隆升电器有限公司</t>
  </si>
  <si>
    <t>廊坊市新兴产业示范区龙湖大道以南,龙祥路以西</t>
  </si>
  <si>
    <t>大于等于1</t>
  </si>
  <si>
    <t>廊坊市马哈机械设备有限公司</t>
  </si>
  <si>
    <t>廊坊市新兴产业示范区龙显道以南,通仁路以西</t>
  </si>
  <si>
    <t>北京联东金泰投资有限公司</t>
    <phoneticPr fontId="6" type="noConversion"/>
  </si>
  <si>
    <t>河北省廊坊市</t>
    <phoneticPr fontId="6" type="noConversion"/>
  </si>
  <si>
    <t>出让</t>
  </si>
  <si>
    <t>否</t>
  </si>
  <si>
    <t>《不动产权证书》</t>
  </si>
  <si>
    <t>复印件</t>
  </si>
  <si>
    <t>工业项目</t>
  </si>
  <si>
    <t>无</t>
  </si>
  <si>
    <t>现房</t>
  </si>
  <si>
    <t>通路</t>
  </si>
  <si>
    <t>通电</t>
  </si>
  <si>
    <t>通讯</t>
  </si>
  <si>
    <t>通上水</t>
  </si>
  <si>
    <t>通下水</t>
  </si>
  <si>
    <t>通热</t>
  </si>
  <si>
    <t>是</t>
  </si>
  <si>
    <t>地上</t>
  </si>
  <si>
    <t>厂房</t>
  </si>
  <si>
    <t>厂房</t>
    <phoneticPr fontId="16" type="noConversion"/>
  </si>
  <si>
    <t>办公</t>
    <phoneticPr fontId="16" type="noConversion"/>
  </si>
  <si>
    <t>仓储</t>
  </si>
  <si>
    <t>仓储</t>
    <phoneticPr fontId="16" type="noConversion"/>
  </si>
  <si>
    <t>工业</t>
    <phoneticPr fontId="7" type="noConversion"/>
  </si>
  <si>
    <t>成新度</t>
  </si>
  <si>
    <t>建成年代</t>
    <phoneticPr fontId="143" type="noConversion"/>
  </si>
  <si>
    <t>成新度</t>
    <phoneticPr fontId="143" type="noConversion"/>
  </si>
  <si>
    <t>面积</t>
    <phoneticPr fontId="143" type="noConversion"/>
  </si>
  <si>
    <t>廊坊</t>
  </si>
  <si>
    <t>廊坊</t>
    <phoneticPr fontId="3" type="noConversion"/>
  </si>
  <si>
    <t>收益法</t>
  </si>
  <si>
    <t>全部缴纳</t>
  </si>
  <si>
    <t>已包含在土地取得成本中</t>
  </si>
  <si>
    <t>押一</t>
  </si>
  <si>
    <t>按租金收入计税</t>
  </si>
  <si>
    <t>成本法</t>
  </si>
  <si>
    <t>非生产用房</t>
  </si>
  <si>
    <t>砖混</t>
  </si>
  <si>
    <t>廊坊开发区华翔路东侧、耀华道北侧</t>
    <phoneticPr fontId="3" type="noConversion"/>
  </si>
  <si>
    <t>正常</t>
  </si>
  <si>
    <r>
      <t>30-40</t>
    </r>
    <r>
      <rPr>
        <sz val="11"/>
        <color indexed="8"/>
        <rFont val="宋体"/>
        <family val="3"/>
        <charset val="134"/>
      </rPr>
      <t>（含）</t>
    </r>
    <phoneticPr fontId="33" type="noConversion"/>
  </si>
  <si>
    <r>
      <t>40-50</t>
    </r>
    <r>
      <rPr>
        <sz val="11"/>
        <color indexed="8"/>
        <rFont val="宋体"/>
        <family val="3"/>
        <charset val="134"/>
      </rPr>
      <t>（含）</t>
    </r>
    <phoneticPr fontId="33" type="noConversion"/>
  </si>
  <si>
    <t>估价对象位廊坊开发区，周边工业建设较成熟，产业集聚程度较好</t>
    <phoneticPr fontId="41" type="noConversion"/>
  </si>
  <si>
    <t>估价对象周边有16路、17路等多条公共路线、停车较便捷，东距城市主干道600米，综合评价交通便捷度较好</t>
    <phoneticPr fontId="41" type="noConversion"/>
  </si>
  <si>
    <t>估价对象所在区域公共配套设施齐备情况一般</t>
    <phoneticPr fontId="41" type="noConversion"/>
  </si>
  <si>
    <t>估价对象所在区域基础设施水平七通</t>
    <phoneticPr fontId="25" type="noConversion"/>
  </si>
  <si>
    <t>该园区内无污染型企业，绿化较好，卫生条件良好，整体环境状况较好</t>
    <phoneticPr fontId="41" type="noConversion"/>
  </si>
  <si>
    <t>单面临街</t>
  </si>
  <si>
    <t>次干道——北凤道</t>
    <phoneticPr fontId="25" type="noConversion"/>
  </si>
  <si>
    <t>双面临街</t>
  </si>
  <si>
    <t>七通</t>
  </si>
  <si>
    <t>较好</t>
  </si>
  <si>
    <t>较一致</t>
    <phoneticPr fontId="25" type="noConversion"/>
  </si>
  <si>
    <t>一般</t>
  </si>
  <si>
    <t>工业</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</si>
  <si>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</si>
  <si>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</si>
  <si>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</si>
  <si>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</si>
  <si>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</si>
  <si>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</si>
  <si>
    <t>支路</t>
    <phoneticPr fontId="33" type="noConversion"/>
  </si>
  <si>
    <t>规则</t>
  </si>
  <si>
    <t>较规则</t>
  </si>
  <si>
    <t>较不规则</t>
  </si>
  <si>
    <t>不规则</t>
  </si>
  <si>
    <t>六通</t>
  </si>
  <si>
    <t>五通</t>
  </si>
  <si>
    <t>四通</t>
  </si>
  <si>
    <t>三通</t>
  </si>
  <si>
    <t>好</t>
  </si>
  <si>
    <t>较差</t>
  </si>
  <si>
    <t>差</t>
  </si>
  <si>
    <t>支路——祥云道</t>
    <phoneticPr fontId="33" type="noConversion"/>
  </si>
  <si>
    <t>支路——木兰道</t>
    <phoneticPr fontId="33" type="noConversion"/>
  </si>
  <si>
    <t>九干渠东侧,河北拓能管道制造有限公司北侧,友谊路西侧</t>
    <phoneticPr fontId="143" type="noConversion"/>
  </si>
  <si>
    <t>支路——友谊道</t>
    <phoneticPr fontId="33" type="noConversion"/>
  </si>
  <si>
    <t>单位面积地价</t>
  </si>
  <si>
    <t>2016年5月1日后购买</t>
  </si>
  <si>
    <t>情况4</t>
  </si>
  <si>
    <t>转让取得</t>
  </si>
  <si>
    <t>在建建筑物价值</t>
  </si>
  <si>
    <t>成本比率</t>
  </si>
  <si>
    <t>2018-1-0390-P01DYGJ1</t>
    <phoneticPr fontId="6" type="noConversion"/>
  </si>
  <si>
    <t>廊坊开发区华祥路东侧、耀华道北侧工业用房</t>
    <phoneticPr fontId="6" type="noConversion"/>
  </si>
  <si>
    <t>厂房、仓库、办公</t>
    <phoneticPr fontId="6" type="noConversion"/>
  </si>
  <si>
    <r>
      <rPr>
        <sz val="12"/>
        <color theme="9" tint="-0.249977111117893"/>
        <rFont val="宋体"/>
        <family val="3"/>
        <charset val="134"/>
      </rPr>
      <t>工业用房</t>
    </r>
    <r>
      <rPr>
        <sz val="12"/>
        <color theme="9" tint="-0.249977111117893"/>
        <rFont val="Arial"/>
        <family val="2"/>
      </rPr>
      <t>39.09</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</si>
  <si>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冀（</t>
    </r>
    <r>
      <rPr>
        <sz val="12"/>
        <color theme="9" tint="-0.249977111117893"/>
        <rFont val="Arial"/>
        <family val="2"/>
      </rPr>
      <t>2017</t>
    </r>
    <r>
      <rPr>
        <sz val="12"/>
        <color theme="9" tint="-0.249977111117893"/>
        <rFont val="宋体"/>
        <family val="3"/>
        <charset val="134"/>
      </rPr>
      <t>）廊坊开发区不动产权第</t>
    </r>
    <r>
      <rPr>
        <sz val="12"/>
        <color theme="9" tint="-0.249977111117893"/>
        <rFont val="Arial"/>
        <family val="2"/>
      </rPr>
      <t>0017278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</si>
  <si>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冀（</t>
    </r>
    <r>
      <rPr>
        <sz val="12"/>
        <color theme="9" tint="-0.249977111117893"/>
        <rFont val="Arial"/>
        <family val="2"/>
      </rPr>
      <t>2017</t>
    </r>
    <r>
      <rPr>
        <sz val="12"/>
        <color theme="9" tint="-0.249977111117893"/>
        <rFont val="宋体"/>
        <family val="3"/>
        <charset val="134"/>
      </rPr>
      <t>）廊坊开发区不动产权第</t>
    </r>
    <r>
      <rPr>
        <sz val="12"/>
        <color theme="9" tint="-0.249977111117893"/>
        <rFont val="Arial"/>
        <family val="2"/>
      </rPr>
      <t>0017278</t>
    </r>
    <r>
      <rPr>
        <sz val="12"/>
        <color theme="9" tint="-0.249977111117893"/>
        <rFont val="宋体"/>
        <family val="3"/>
        <charset val="134"/>
      </rPr>
      <t>号</t>
    </r>
    <r>
      <rPr>
        <sz val="12"/>
        <color theme="9" tint="-0.249977111117893"/>
        <rFont val="Arial"/>
        <family val="2"/>
      </rPr>
      <t>]</t>
    </r>
    <phoneticPr fontId="6" type="noConversion"/>
  </si>
  <si>
    <t>面积</t>
    <phoneticPr fontId="143" type="noConversion"/>
  </si>
  <si>
    <t>建安</t>
    <phoneticPr fontId="143" type="noConversion"/>
  </si>
  <si>
    <t>租金</t>
    <phoneticPr fontId="143" type="noConversion"/>
  </si>
  <si>
    <t>增长率</t>
    <phoneticPr fontId="143" type="noConversion"/>
  </si>
  <si>
    <t>办公</t>
    <phoneticPr fontId="143" type="noConversion"/>
  </si>
  <si>
    <t>厂房</t>
    <phoneticPr fontId="143" type="noConversion"/>
  </si>
  <si>
    <t>库房</t>
    <phoneticPr fontId="143" type="noConversion"/>
  </si>
  <si>
    <t>设备及其他</t>
    <phoneticPr fontId="143" type="noConversion"/>
  </si>
  <si>
    <t>中国光大银行股份有限公司北京分行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</si>
</sst>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60" xfId="0" applyFont="1" applyFill="1" applyBorder="1" applyAlignment="1" applyProtection="1">
      <alignment vertical="center" wrapText="1"/>
      <protection locked="0"/>
    </xf>
    <xf numFmtId="0" fontId="0" fillId="5" borderId="0" xfId="0" applyFill="1" applyAlignment="1"/>
    <xf numFmtId="0" fontId="0" fillId="0" borderId="0" xfId="0" applyFill="1" applyAlignment="1"/>
    <xf numFmtId="14" fontId="190"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3" applyFont="1">
      <alignment vertical="center"/>
    </xf>
    <xf numFmtId="0" fontId="137" fillId="0" borderId="23" xfId="0" applyFont="1" applyBorder="1" applyAlignment="1" applyProtection="1">
      <alignment horizontal="right"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9" fillId="0" borderId="0" xfId="0" applyFont="1" applyFill="1" applyAlignment="1"/>
    <xf numFmtId="0" fontId="99" fillId="5" borderId="0" xfId="0" applyFont="1" applyFill="1" applyAlignment="1"/>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6" sqref="B26"/>
    </sheetView>
  </sheetViews>
  <sheetFormatPr defaultRowHeight="14.25"/>
  <cols>
    <col min="1" max="1" width="35.625" style="1586" customWidth="1"/>
    <col min="2" max="2" width="81" style="1603" customWidth="1"/>
    <col min="3" max="16384" width="9" style="1601"/>
  </cols>
  <sheetData>
    <row r="1" spans="1:2" s="1589" customFormat="1" ht="16.5" thickBot="1">
      <c r="A1" s="1588" t="s">
        <v>1218</v>
      </c>
      <c r="B1" s="1587" t="s">
        <v>1297</v>
      </c>
    </row>
    <row r="2" spans="1:2" s="1592" customFormat="1" ht="15" thickTop="1">
      <c r="A2" s="1590" t="s">
        <v>1219</v>
      </c>
      <c r="B2" s="1591" t="str">
        <f>'预评函-封皮'!B37:I37</f>
        <v>河北省廊坊市廊坊开发区华祥路东侧、耀华道北侧工业用房房地产抵押价值预评估</v>
      </c>
    </row>
    <row r="3" spans="1:2" s="1595" customFormat="1">
      <c r="A3" s="1593" t="s">
        <v>1220</v>
      </c>
      <c r="B3" s="1594" t="str">
        <f>'预评函-封皮'!B40</f>
        <v>北京联东金泰投资有限公司</v>
      </c>
    </row>
    <row r="4" spans="1:2" s="1595" customFormat="1">
      <c r="A4" s="1593" t="s">
        <v>1221</v>
      </c>
      <c r="B4" s="1594" t="str">
        <f ca="1">'预评函-封皮'!B46</f>
        <v>欧红伟（注册号：1120000080)、崔锴（注册号：1120100036)</v>
      </c>
    </row>
    <row r="5" spans="1:2" s="1589" customFormat="1" ht="15" thickBot="1">
      <c r="A5" s="1596" t="s">
        <v>1222</v>
      </c>
      <c r="B5" s="1597" t="str">
        <f>'预评函-封皮'!B49</f>
        <v>康正预评字2018-1-0390-P01DYGJ1号</v>
      </c>
    </row>
    <row r="6" spans="1:2" s="1592" customFormat="1" ht="15" thickTop="1">
      <c r="A6" s="1590" t="s">
        <v>1223</v>
      </c>
      <c r="B6" s="1591" t="str">
        <f>'预评函-1'!A4</f>
        <v>受贵公司委托，我公司对河北省廊坊市廊坊开发区华祥路东侧、耀华道北侧工业用房房地产抵押价值进行了预评估。</v>
      </c>
    </row>
    <row r="7" spans="1:2" s="1595" customFormat="1">
      <c r="A7" s="1593" t="s">
        <v>1263</v>
      </c>
      <c r="B7" s="1594" t="str">
        <f>'预评函-1'!A7</f>
        <v>估价对象为河北省廊坊市廊坊开发区华祥路东侧、耀华道北侧工业用房房地产，为北京联东金泰投资有限公司所有。根据《不动产权证书》[冀（2017）廊坊开发区不动产权第0017278号]，估价对象（分摊）出让国有建设用地使用权面积为62946.5平方米，建筑面积为45029.38平方米。</v>
      </c>
    </row>
    <row r="8" spans="1:2" s="1595" customFormat="1">
      <c r="A8" s="1593" t="s">
        <v>1264</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1265</v>
      </c>
      <c r="B9" s="1594" t="str">
        <f>'预评函-1'!A10</f>
        <v>估价对象为河北省廊坊市廊坊开发区华祥路东侧、耀华道北侧工业用房房地产,属北京联东金泰投资有限公司开发建设的工业项目，该项目尚在开发建设中。根据《不动产权证书》[冀（2017）廊坊开发区不动产权第0017278号]，估价对象（分摊）出让国有建设用地使用权面积为62946.5平方米，规划建筑面积为45029.38平方米。</v>
      </c>
    </row>
    <row r="10" spans="1:2" s="1595" customFormat="1">
      <c r="A10" s="1593" t="s">
        <v>1266</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1224</v>
      </c>
      <c r="B11" s="1594" t="str">
        <f>'预评函-1'!A13</f>
        <v>为估价委托人在向中国光大银行股份有限公司北京分行办理贷款手续过程中，确定房地产抵押贷款额度提供参考依据而评估房地产抵押价值。</v>
      </c>
    </row>
    <row r="12" spans="1:2" s="1595" customFormat="1">
      <c r="A12" s="1593" t="s">
        <v>1225</v>
      </c>
      <c r="B12" s="1594" t="str">
        <f>'预评函-1'!A15</f>
        <v>2018年5月25日（评估专业人员实地查勘之日）</v>
      </c>
    </row>
    <row r="13" spans="1:2" s="1595" customFormat="1">
      <c r="A13" s="1593" t="s">
        <v>1226</v>
      </c>
      <c r="B13" s="1594" t="str">
        <f>'预评函-1'!A18</f>
        <v>本次估价的“房地产价值”是指在正常市场情况下，在价值时点2018年5月25日，估价对象规划用途为厂房、仓库、办公，土地取得方式为出让，出让国有建设用地使用权剩余土地使用年限为工业用房39.09年，假定未设立法定优先受偿款下的房地产市场价值。</v>
      </c>
    </row>
    <row r="14" spans="1:2" s="1595" customFormat="1">
      <c r="A14" s="1593" t="s">
        <v>1227</v>
      </c>
      <c r="B14" s="1594" t="str">
        <f>'预评函-1'!A19</f>
        <v>其中，“出让国有建设用地使用权价值”是指估价对象用途为厂房、仓库、办公，实际开发程度为宗地红线外“七通”（即通路、通电、通讯、通上水、通下水、通热、）、红线内场地平整条件下，剩余土地使用年限为工业用房39.09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1228</v>
      </c>
      <c r="B15" s="1594" t="str">
        <f>'预评函-1'!A20</f>
        <v>本次估价的“房地产抵押价值”是指估价对象在价值时点的“房地产价值”扣减估价师于价值时点所知悉的法定优先受偿款后的余额。</v>
      </c>
    </row>
    <row r="16" spans="1:2" s="1595" customFormat="1">
      <c r="A16" s="1593" t="s">
        <v>1229</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1230</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1231</v>
      </c>
      <c r="B18" s="1597" t="str">
        <f>'预评函-1'!A24</f>
        <v>本次评估采用的主估价方法为成本法和收益法。</v>
      </c>
    </row>
    <row r="19" spans="1:2" s="1592" customFormat="1" ht="15" thickTop="1">
      <c r="A19" s="1590" t="s">
        <v>1232</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1233</v>
      </c>
      <c r="B20" s="1594">
        <f ca="1">'预评函-2'!D5</f>
        <v>23062</v>
      </c>
    </row>
    <row r="21" spans="1:2" s="1595" customFormat="1">
      <c r="A21" s="1593" t="s">
        <v>1234</v>
      </c>
      <c r="B21" s="1594">
        <f ca="1">'预评函-2'!D7</f>
        <v>5122</v>
      </c>
    </row>
    <row r="22" spans="1:2" s="1595" customFormat="1">
      <c r="A22" s="1593" t="s">
        <v>1235</v>
      </c>
      <c r="B22" s="1594" t="str">
        <f ca="1">'预评函-2'!D6</f>
        <v>贰亿叁仟零陆拾贰万元整</v>
      </c>
    </row>
    <row r="23" spans="1:2" s="1595" customFormat="1">
      <c r="A23" s="1593" t="s">
        <v>1286</v>
      </c>
      <c r="B23" s="1594" t="str">
        <f>'预评函-2'!B8</f>
        <v>2.估价师知悉的法定优先受偿款</v>
      </c>
    </row>
    <row r="24" spans="1:2" s="1595" customFormat="1">
      <c r="A24" s="1593" t="s">
        <v>1292</v>
      </c>
      <c r="B24" s="1594">
        <f>'预评函-2'!D8</f>
        <v>0</v>
      </c>
    </row>
    <row r="25" spans="1:2" s="1595" customFormat="1">
      <c r="A25" s="1593" t="s">
        <v>1236</v>
      </c>
      <c r="B25" s="1594" t="str">
        <f>'预评函-2'!D9</f>
        <v>零元整</v>
      </c>
    </row>
    <row r="26" spans="1:2" s="1595" customFormat="1">
      <c r="A26" s="1593" t="s">
        <v>1237</v>
      </c>
      <c r="B26" s="1594">
        <f>'预评函-2'!D10</f>
        <v>0</v>
      </c>
    </row>
    <row r="27" spans="1:2" s="1595" customFormat="1">
      <c r="A27" s="1593" t="s">
        <v>1238</v>
      </c>
      <c r="B27" s="1594">
        <f>'预评函-2'!D11</f>
        <v>0</v>
      </c>
    </row>
    <row r="28" spans="1:2" s="1595" customFormat="1">
      <c r="A28" s="1593" t="s">
        <v>1239</v>
      </c>
      <c r="B28" s="1594">
        <f>'预评函-2'!D12</f>
        <v>0</v>
      </c>
    </row>
    <row r="29" spans="1:2" s="1595" customFormat="1">
      <c r="A29" s="1593" t="s">
        <v>1290</v>
      </c>
      <c r="B29" s="1594" t="str">
        <f>'预评函-2'!B13</f>
        <v>3.房地产抵押价值</v>
      </c>
    </row>
    <row r="30" spans="1:2" s="1595" customFormat="1">
      <c r="A30" s="1593" t="s">
        <v>1291</v>
      </c>
      <c r="B30" s="1594">
        <f ca="1">'预评函-2'!D13</f>
        <v>23062</v>
      </c>
    </row>
    <row r="31" spans="1:2" s="1595" customFormat="1">
      <c r="A31" s="1593" t="s">
        <v>1273</v>
      </c>
      <c r="B31" s="1594">
        <f ca="1">'预评函-2'!D15</f>
        <v>5122</v>
      </c>
    </row>
    <row r="32" spans="1:2" s="1595" customFormat="1">
      <c r="A32" s="1593" t="s">
        <v>1240</v>
      </c>
      <c r="B32" s="1594" t="str">
        <f ca="1">'预评函-2'!D14</f>
        <v>贰亿叁仟零陆拾贰万元整</v>
      </c>
    </row>
    <row r="33" spans="1:2" s="1595" customFormat="1">
      <c r="A33" s="1593" t="s">
        <v>1275</v>
      </c>
      <c r="B33" s="1594" t="str">
        <f>'预评函-2'!B16</f>
        <v>——</v>
      </c>
    </row>
    <row r="34" spans="1:2" s="1595" customFormat="1">
      <c r="A34" s="1593" t="s">
        <v>1293</v>
      </c>
      <c r="B34" s="1594" t="str">
        <f>'预评函-2'!D16</f>
        <v>——</v>
      </c>
    </row>
    <row r="35" spans="1:2" s="1595" customFormat="1">
      <c r="A35" s="1593" t="s">
        <v>1274</v>
      </c>
      <c r="B35" s="1594" t="str">
        <f>'预评函-2'!D18</f>
        <v>——</v>
      </c>
    </row>
    <row r="36" spans="1:2" s="1595" customFormat="1">
      <c r="A36" s="1593" t="s">
        <v>1241</v>
      </c>
      <c r="B36" s="1594" t="e">
        <f>'预评函-2'!D17</f>
        <v>#VALUE!</v>
      </c>
    </row>
    <row r="37" spans="1:2" s="1595" customFormat="1">
      <c r="A37" s="1593" t="s">
        <v>1276</v>
      </c>
      <c r="B37" s="1594" t="str">
        <f>'预评函-2'!B19</f>
        <v>——</v>
      </c>
    </row>
    <row r="38" spans="1:2" s="1595" customFormat="1">
      <c r="A38" s="1593" t="s">
        <v>1294</v>
      </c>
      <c r="B38" s="1594" t="str">
        <f>'预评函-2'!D19</f>
        <v>——</v>
      </c>
    </row>
    <row r="39" spans="1:2" s="1595" customFormat="1">
      <c r="A39" s="1593" t="s">
        <v>1242</v>
      </c>
      <c r="B39" s="1594" t="str">
        <f>'预评函-2'!D21</f>
        <v>——</v>
      </c>
    </row>
    <row r="40" spans="1:2" s="1595" customFormat="1">
      <c r="A40" s="1593" t="s">
        <v>1243</v>
      </c>
      <c r="B40" s="1594" t="e">
        <f>'预评函-2'!D20</f>
        <v>#VALUE!</v>
      </c>
    </row>
    <row r="41" spans="1:2" s="1595" customFormat="1">
      <c r="A41" s="1593" t="s">
        <v>1289</v>
      </c>
      <c r="B41" s="1594" t="str">
        <f>'预评函-3'!A4</f>
        <v>河北省廊坊市廊坊开发区华祥路东侧、耀华道北侧工业用房房地产</v>
      </c>
    </row>
    <row r="42" spans="1:2" s="1595" customFormat="1">
      <c r="A42" s="1593" t="s">
        <v>1287</v>
      </c>
      <c r="B42" s="1594" t="str">
        <f>'预评函-3'!B2</f>
        <v>建筑面积</v>
      </c>
    </row>
    <row r="43" spans="1:2" s="1595" customFormat="1">
      <c r="A43" s="1593" t="s">
        <v>1288</v>
      </c>
      <c r="B43" s="1594">
        <f>'预评函-3'!B4</f>
        <v>45029.380000000005</v>
      </c>
    </row>
    <row r="44" spans="1:2" s="1595" customFormat="1">
      <c r="A44" s="1593" t="s">
        <v>1272</v>
      </c>
      <c r="B44" s="1594" t="str">
        <f>'预评函-3'!C2</f>
        <v>(分摊)土地面积</v>
      </c>
    </row>
    <row r="45" spans="1:2" s="1595" customFormat="1">
      <c r="A45" s="1593" t="s">
        <v>1244</v>
      </c>
      <c r="B45" s="1594">
        <f>'预评函-3'!C4</f>
        <v>62946.5</v>
      </c>
    </row>
    <row r="46" spans="1:2" s="1595" customFormat="1">
      <c r="A46" s="1593" t="s">
        <v>1270</v>
      </c>
      <c r="B46" s="1594" t="str">
        <f>'预评函-3'!D2</f>
        <v>出让国有建设用地使用权价值</v>
      </c>
    </row>
    <row r="47" spans="1:2" s="1595" customFormat="1">
      <c r="A47" s="1593" t="s">
        <v>1245</v>
      </c>
      <c r="B47" s="1594">
        <f ca="1">'预评函-3'!D4</f>
        <v>6757</v>
      </c>
    </row>
    <row r="48" spans="1:2" s="1595" customFormat="1">
      <c r="A48" s="1593" t="s">
        <v>1246</v>
      </c>
      <c r="B48" s="1594">
        <f ca="1">'预评函-3'!E4</f>
        <v>1501</v>
      </c>
    </row>
    <row r="49" spans="1:2" s="1595" customFormat="1">
      <c r="A49" s="1593" t="s">
        <v>1247</v>
      </c>
      <c r="B49" s="1594" t="str">
        <f ca="1">'预评函-3'!D5</f>
        <v>陆仟柒佰伍拾柒万元整</v>
      </c>
    </row>
    <row r="50" spans="1:2" s="1595" customFormat="1">
      <c r="A50" s="1593" t="s">
        <v>1271</v>
      </c>
      <c r="B50" s="1594" t="str">
        <f>'预评函-3'!F2</f>
        <v>在建建筑物价值</v>
      </c>
    </row>
    <row r="51" spans="1:2" s="1595" customFormat="1">
      <c r="A51" s="1593" t="s">
        <v>1248</v>
      </c>
      <c r="B51" s="1594">
        <f ca="1">'预评函-3'!F4</f>
        <v>16305</v>
      </c>
    </row>
    <row r="52" spans="1:2" s="1595" customFormat="1">
      <c r="A52" s="1593" t="s">
        <v>1249</v>
      </c>
      <c r="B52" s="1594">
        <f ca="1">'预评函-3'!G4</f>
        <v>3621</v>
      </c>
    </row>
    <row r="53" spans="1:2" s="1595" customFormat="1">
      <c r="A53" s="1593" t="s">
        <v>1277</v>
      </c>
      <c r="B53" s="1594" t="str">
        <f ca="1">'预评函-3'!F5</f>
        <v>壹亿陆仟叁佰零伍万元整</v>
      </c>
    </row>
    <row r="54" spans="1:2" s="1595" customFormat="1">
      <c r="A54" s="1593" t="s">
        <v>1295</v>
      </c>
      <c r="B54" s="1594" t="str">
        <f>'预评函-3'!A8</f>
        <v>房地产抵押价值</v>
      </c>
    </row>
    <row r="55" spans="1:2" s="1595" customFormat="1">
      <c r="A55" s="1593" t="s">
        <v>1278</v>
      </c>
      <c r="B55" s="1594" t="str">
        <f>'预评函-3'!A10</f>
        <v/>
      </c>
    </row>
    <row r="56" spans="1:2" s="1595" customFormat="1">
      <c r="A56" s="1593" t="s">
        <v>1279</v>
      </c>
      <c r="B56" s="1594" t="str">
        <f>'预评函-3'!A12</f>
        <v/>
      </c>
    </row>
    <row r="57" spans="1:2" s="1589" customFormat="1" ht="15" thickBot="1">
      <c r="A57" s="1596" t="s">
        <v>1296</v>
      </c>
      <c r="B57" s="1597" t="str">
        <f>'预评函-3'!A6</f>
        <v>估价师知悉的法定优先受偿款</v>
      </c>
    </row>
    <row r="58" spans="1:2" s="1592" customFormat="1" ht="15" thickTop="1">
      <c r="A58" s="1590" t="s">
        <v>1250</v>
      </c>
      <c r="B58" s="1591" t="str">
        <f>'预评函-4'!A12</f>
        <v>2.本《评估意见函》仅供金融机构进行内部审核使用，不做其他目的之用。</v>
      </c>
    </row>
    <row r="59" spans="1:2" s="1595" customFormat="1">
      <c r="A59" s="1593" t="s">
        <v>1251</v>
      </c>
      <c r="B59" s="1594" t="str">
        <f>'预评函-4'!A13</f>
        <v>3.抵押双方在办理抵押登记手续时，应使用本公司出具的正式《房地产评估报告》，特提醒报告使用者注意。</v>
      </c>
    </row>
    <row r="60" spans="1:2" s="1595" customFormat="1">
      <c r="A60" s="1593" t="s">
        <v>1252</v>
      </c>
      <c r="B60" s="1594" t="str">
        <f>'预评函-4'!A14</f>
        <v>4.本次评估估价师所知悉的法定优先受偿款情况说明如下：</v>
      </c>
    </row>
    <row r="61" spans="1:2" s="1595" customFormat="1">
      <c r="A61" s="1593" t="s">
        <v>1253</v>
      </c>
      <c r="B61" s="1594" t="str">
        <f>'预评函-4'!A15</f>
        <v>（1）根据估价对象《不动产权证书》复印件、，截至价值时点，估价对象抵押权未见登记。</v>
      </c>
    </row>
    <row r="62" spans="1:2" s="1595" customFormat="1">
      <c r="A62" s="1593" t="s">
        <v>1254</v>
      </c>
      <c r="B62" s="1594" t="str">
        <f>'预评函-4'!A16</f>
        <v>（2）根据《工程款支付情况说明》，截至价值时点，估价对象不存在应付未付工程款项。（只要没有施工方盖章的，均“设定”进行表述）</v>
      </c>
    </row>
    <row r="63" spans="1:2" s="1595" customFormat="1">
      <c r="A63" s="1593" t="s">
        <v>1255</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1267</v>
      </c>
      <c r="B64" s="1594" t="str">
        <f>'预评函-4'!A18</f>
        <v>故，本次评估不存在估价师知悉的法定优先受偿款</v>
      </c>
    </row>
    <row r="65" spans="1:2" s="1595" customFormat="1">
      <c r="A65" s="1593" t="s">
        <v>1256</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1257</v>
      </c>
      <c r="B66" s="1594" t="str">
        <f>'预评函-4'!A20</f>
        <v>——</v>
      </c>
    </row>
    <row r="67" spans="1:2" s="1595" customFormat="1">
      <c r="A67" s="1593" t="s">
        <v>1268</v>
      </c>
      <c r="B67" s="1594" t="str">
        <f>'预评函-4'!A21</f>
        <v>——</v>
      </c>
    </row>
    <row r="68" spans="1:2" s="1595" customFormat="1">
      <c r="A68" s="1593" t="s">
        <v>1269</v>
      </c>
      <c r="B68" s="1594" t="str">
        <f>'预评函-4'!A22</f>
        <v>8.其他需特殊说明事项：无（注意调整序号）</v>
      </c>
    </row>
    <row r="69" spans="1:2" s="1589" customFormat="1" ht="15" thickBot="1">
      <c r="A69" s="1596" t="s">
        <v>1258</v>
      </c>
      <c r="B69" s="1598">
        <f>'预评函-4'!C31</f>
        <v>42551</v>
      </c>
    </row>
    <row r="70" spans="1:2" ht="15" thickTop="1">
      <c r="A70" s="1599" t="s">
        <v>1259</v>
      </c>
      <c r="B70" s="1600" t="str">
        <f>'预评函-4'!A4</f>
        <v>欧红伟</v>
      </c>
    </row>
    <row r="71" spans="1:2">
      <c r="A71" s="1593" t="s">
        <v>1260</v>
      </c>
      <c r="B71" s="1594">
        <f ca="1">'预评函-4'!B4</f>
        <v>1120000080</v>
      </c>
    </row>
    <row r="72" spans="1:2">
      <c r="A72" s="1593" t="s">
        <v>1261</v>
      </c>
      <c r="B72" s="1602" t="str">
        <f>'预评函-4'!A5</f>
        <v>崔锴</v>
      </c>
    </row>
    <row r="73" spans="1:2" s="1589" customFormat="1" ht="15" thickBot="1">
      <c r="A73" s="1596" t="s">
        <v>1262</v>
      </c>
      <c r="B73" s="1597">
        <f ca="1">'预评函-4'!B5</f>
        <v>1120100036</v>
      </c>
    </row>
    <row r="74" spans="1:2" ht="15" thickTop="1">
      <c r="A74" s="1586" t="s">
        <v>1298</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5" sqref="A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70</v>
      </c>
      <c r="B1" s="2010" t="s">
        <v>1689</v>
      </c>
      <c r="C1" s="2011" t="s">
        <v>758</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752</v>
      </c>
      <c r="Q1" s="2013" t="s">
        <v>1143</v>
      </c>
      <c r="R1" s="2012" t="s">
        <v>1137</v>
      </c>
      <c r="S1" s="2012" t="s">
        <v>1702</v>
      </c>
      <c r="T1" s="2014" t="s">
        <v>1703</v>
      </c>
      <c r="U1" s="2012" t="s">
        <v>1704</v>
      </c>
      <c r="V1" s="2012" t="s">
        <v>1705</v>
      </c>
      <c r="W1" s="2012" t="s">
        <v>754</v>
      </c>
    </row>
    <row r="2" spans="1:23">
      <c r="A2" s="2016" t="s">
        <v>3151</v>
      </c>
      <c r="B2" s="2016" t="s">
        <v>1706</v>
      </c>
      <c r="C2" s="2017" t="s">
        <v>759</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1139</v>
      </c>
      <c r="S2" s="2018" t="s">
        <v>1712</v>
      </c>
      <c r="T2" s="2018" t="s">
        <v>1713</v>
      </c>
      <c r="U2" s="2018" t="s">
        <v>1712</v>
      </c>
      <c r="V2" s="2018" t="s">
        <v>1714</v>
      </c>
      <c r="W2" s="2018" t="s">
        <v>1712</v>
      </c>
    </row>
    <row r="3" spans="1:23">
      <c r="A3" s="2016" t="s">
        <v>3152</v>
      </c>
      <c r="B3" s="2019" t="s">
        <v>1144</v>
      </c>
      <c r="C3" s="2020" t="s">
        <v>760</v>
      </c>
      <c r="D3" s="2018" t="s">
        <v>1715</v>
      </c>
      <c r="E3" s="2018" t="s">
        <v>16</v>
      </c>
      <c r="F3" s="2018" t="s">
        <v>1716</v>
      </c>
      <c r="G3" s="2018">
        <v>50</v>
      </c>
      <c r="H3" s="2018" t="s">
        <v>1716</v>
      </c>
      <c r="I3" s="2018" t="s">
        <v>1717</v>
      </c>
      <c r="J3" s="2018" t="s">
        <v>1718</v>
      </c>
      <c r="K3" s="2018" t="s">
        <v>1719</v>
      </c>
      <c r="L3" s="2018" t="s">
        <v>1719</v>
      </c>
      <c r="M3" s="2018" t="s">
        <v>1719</v>
      </c>
      <c r="N3" s="2018" t="s">
        <v>1719</v>
      </c>
      <c r="O3" s="2018" t="s">
        <v>1719</v>
      </c>
      <c r="P3" s="2018" t="s">
        <v>1719</v>
      </c>
      <c r="Q3" s="2018" t="s">
        <v>1719</v>
      </c>
      <c r="R3" s="2018" t="s">
        <v>1138</v>
      </c>
      <c r="S3" s="2018" t="s">
        <v>1719</v>
      </c>
      <c r="T3" s="2018" t="s">
        <v>1720</v>
      </c>
      <c r="U3" s="2018" t="s">
        <v>1719</v>
      </c>
      <c r="V3" s="2018" t="s">
        <v>1721</v>
      </c>
      <c r="W3" s="2018" t="s">
        <v>1719</v>
      </c>
    </row>
    <row r="4" spans="1:23">
      <c r="A4" s="2016" t="s">
        <v>3154</v>
      </c>
      <c r="B4" s="2016" t="s">
        <v>1722</v>
      </c>
      <c r="C4" s="2017" t="s">
        <v>761</v>
      </c>
      <c r="D4" s="2018" t="s">
        <v>867</v>
      </c>
      <c r="E4" s="2018" t="s">
        <v>1723</v>
      </c>
      <c r="F4" s="2018" t="s">
        <v>1724</v>
      </c>
      <c r="G4" s="2018">
        <v>70</v>
      </c>
      <c r="H4" s="2018" t="s">
        <v>1724</v>
      </c>
      <c r="I4" s="2018" t="s">
        <v>1725</v>
      </c>
      <c r="K4" s="2018" t="s">
        <v>1726</v>
      </c>
      <c r="L4" s="2018" t="s">
        <v>1726</v>
      </c>
      <c r="M4" s="2018" t="s">
        <v>1726</v>
      </c>
      <c r="N4" s="2018" t="s">
        <v>1726</v>
      </c>
      <c r="O4" s="2018" t="s">
        <v>1726</v>
      </c>
      <c r="P4" s="2018" t="s">
        <v>1726</v>
      </c>
      <c r="Q4" s="2018" t="s">
        <v>1726</v>
      </c>
      <c r="R4" s="2018" t="s">
        <v>1140</v>
      </c>
      <c r="S4" s="2018" t="s">
        <v>1726</v>
      </c>
      <c r="T4" s="2018" t="s">
        <v>1727</v>
      </c>
      <c r="U4" s="2018" t="s">
        <v>1726</v>
      </c>
      <c r="W4" s="2018" t="s">
        <v>1726</v>
      </c>
    </row>
    <row r="5" spans="1:23">
      <c r="A5" s="2016"/>
      <c r="B5" s="2016" t="s">
        <v>1728</v>
      </c>
      <c r="C5" s="2017" t="s">
        <v>762</v>
      </c>
      <c r="F5" s="2018" t="s">
        <v>1729</v>
      </c>
      <c r="H5" s="2018" t="s">
        <v>1730</v>
      </c>
      <c r="I5" s="2018" t="s">
        <v>1731</v>
      </c>
      <c r="K5" s="2018" t="s">
        <v>1732</v>
      </c>
      <c r="L5" s="2018" t="s">
        <v>1732</v>
      </c>
      <c r="M5" s="2018" t="s">
        <v>1732</v>
      </c>
      <c r="N5" s="2018" t="s">
        <v>1732</v>
      </c>
      <c r="O5" s="2018" t="s">
        <v>1732</v>
      </c>
      <c r="P5" s="2018" t="s">
        <v>1732</v>
      </c>
      <c r="Q5" s="2018" t="s">
        <v>1732</v>
      </c>
      <c r="R5" s="2018" t="s">
        <v>1141</v>
      </c>
      <c r="S5" s="2018" t="s">
        <v>1732</v>
      </c>
      <c r="T5" s="2018" t="s">
        <v>1733</v>
      </c>
      <c r="U5" s="2018" t="s">
        <v>1732</v>
      </c>
      <c r="W5" s="2018" t="s">
        <v>1732</v>
      </c>
    </row>
    <row r="6" spans="1:23">
      <c r="A6" s="2016"/>
      <c r="B6" s="2019" t="s">
        <v>1145</v>
      </c>
      <c r="C6" s="2022" t="s">
        <v>29</v>
      </c>
      <c r="F6" s="2018" t="s">
        <v>1730</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c r="B7" s="2019" t="s">
        <v>1146</v>
      </c>
      <c r="C7" s="2017" t="s">
        <v>30</v>
      </c>
      <c r="F7" s="2018" t="s">
        <v>1737</v>
      </c>
      <c r="H7" s="2018" t="s">
        <v>1738</v>
      </c>
      <c r="I7" s="2018" t="s">
        <v>1739</v>
      </c>
    </row>
    <row r="8" spans="1:23">
      <c r="A8" s="2016"/>
      <c r="B8" s="2016" t="s">
        <v>1740</v>
      </c>
      <c r="C8" s="2017" t="s">
        <v>763</v>
      </c>
      <c r="F8" s="2018" t="s">
        <v>1741</v>
      </c>
      <c r="H8" s="2018"/>
      <c r="I8" s="2018" t="s">
        <v>1742</v>
      </c>
    </row>
    <row r="9" spans="1:23">
      <c r="A9" s="2016"/>
      <c r="B9" s="2016" t="s">
        <v>1743</v>
      </c>
      <c r="C9" s="2017" t="s">
        <v>764</v>
      </c>
      <c r="F9" s="2018" t="s">
        <v>1744</v>
      </c>
      <c r="H9" s="2018"/>
    </row>
    <row r="10" spans="1:23">
      <c r="A10" s="2016"/>
      <c r="B10" s="2016" t="s">
        <v>1745</v>
      </c>
      <c r="C10" s="2017" t="s">
        <v>765</v>
      </c>
      <c r="F10" s="2018" t="s">
        <v>16</v>
      </c>
    </row>
    <row r="11" spans="1:23">
      <c r="A11" s="2016"/>
      <c r="B11" s="2016" t="s">
        <v>1746</v>
      </c>
      <c r="C11" s="2017" t="s">
        <v>766</v>
      </c>
    </row>
    <row r="12" spans="1:23">
      <c r="A12" s="2016"/>
      <c r="B12" s="2016" t="s">
        <v>1747</v>
      </c>
      <c r="C12" s="2017" t="s">
        <v>767</v>
      </c>
    </row>
    <row r="13" spans="1:23">
      <c r="A13" s="2016"/>
      <c r="B13" s="2016" t="s">
        <v>1748</v>
      </c>
      <c r="C13" s="2017" t="s">
        <v>768</v>
      </c>
    </row>
    <row r="14" spans="1:23">
      <c r="A14" s="2016"/>
      <c r="B14" s="2016" t="s">
        <v>1749</v>
      </c>
      <c r="C14" s="2018" t="s">
        <v>16</v>
      </c>
    </row>
    <row r="15" spans="1:23">
      <c r="A15" s="2016"/>
      <c r="B15" s="2016" t="s">
        <v>1750</v>
      </c>
      <c r="C15" s="2017"/>
    </row>
    <row r="16" spans="1:23">
      <c r="A16" s="2016"/>
      <c r="B16" s="2016" t="s">
        <v>755</v>
      </c>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c r="B27" s="2016" t="s">
        <v>756</v>
      </c>
      <c r="C27" s="2017"/>
    </row>
    <row r="28" spans="1:3">
      <c r="A28" s="2016"/>
      <c r="B28" s="2016" t="s">
        <v>756</v>
      </c>
      <c r="C28" s="2017"/>
    </row>
    <row r="29" spans="1:3">
      <c r="A29" s="2016"/>
      <c r="B29" s="2016" t="s">
        <v>756</v>
      </c>
      <c r="C29" s="2017"/>
    </row>
    <row r="30" spans="1:3">
      <c r="A30" s="2016"/>
      <c r="B30" s="2016" t="s">
        <v>756</v>
      </c>
      <c r="C30" s="2017"/>
    </row>
    <row r="31" spans="1:3">
      <c r="A31" s="2016"/>
      <c r="B31" s="2016" t="s">
        <v>756</v>
      </c>
      <c r="C31" s="2017"/>
    </row>
    <row r="32" spans="1:3">
      <c r="A32" s="2016"/>
      <c r="B32" s="2016" t="s">
        <v>756</v>
      </c>
      <c r="C32" s="2017"/>
    </row>
    <row r="33" spans="1:3">
      <c r="A33" s="2016"/>
      <c r="B33" s="2016" t="s">
        <v>756</v>
      </c>
      <c r="C33" s="2017"/>
    </row>
    <row r="34" spans="1:3">
      <c r="A34" s="2016"/>
      <c r="B34" s="2016" t="s">
        <v>756</v>
      </c>
      <c r="C34" s="2017"/>
    </row>
    <row r="35" spans="1:3">
      <c r="A35" s="2016"/>
      <c r="B35" s="2016" t="s">
        <v>756</v>
      </c>
      <c r="C35" s="2017"/>
    </row>
    <row r="36" spans="1:3">
      <c r="A36" s="2016"/>
      <c r="B36" s="2016" t="s">
        <v>756</v>
      </c>
      <c r="C36" s="2017"/>
    </row>
    <row r="37" spans="1:3">
      <c r="A37" s="2016"/>
      <c r="B37" s="2016" t="s">
        <v>756</v>
      </c>
      <c r="C37" s="2017"/>
    </row>
    <row r="38" spans="1:3">
      <c r="A38" s="2016"/>
      <c r="B38" s="2016" t="s">
        <v>756</v>
      </c>
      <c r="C38" s="2017"/>
    </row>
    <row r="39" spans="1:3">
      <c r="A39" s="2016"/>
      <c r="B39" s="2016" t="s">
        <v>756</v>
      </c>
      <c r="C39" s="2017"/>
    </row>
    <row r="40" spans="1:3">
      <c r="A40" s="2016"/>
      <c r="B40" s="2016" t="s">
        <v>756</v>
      </c>
      <c r="C40" s="2017"/>
    </row>
    <row r="41" spans="1:3">
      <c r="A41" s="2016"/>
      <c r="B41" s="2016" t="s">
        <v>756</v>
      </c>
      <c r="C41" s="2017"/>
    </row>
    <row r="42" spans="1:3">
      <c r="A42" s="2016"/>
      <c r="B42" s="2016" t="s">
        <v>756</v>
      </c>
      <c r="C42" s="2017"/>
    </row>
    <row r="43" spans="1:3">
      <c r="A43" s="2016"/>
      <c r="B43" s="2016" t="s">
        <v>756</v>
      </c>
      <c r="C43" s="2017"/>
    </row>
    <row r="44" spans="1:3">
      <c r="A44" s="2016"/>
      <c r="B44" s="2016" t="s">
        <v>756</v>
      </c>
      <c r="C44" s="2017"/>
    </row>
    <row r="45" spans="1:3">
      <c r="A45" s="2016"/>
      <c r="B45" s="2016" t="s">
        <v>756</v>
      </c>
      <c r="C45" s="2017"/>
    </row>
    <row r="46" spans="1:3">
      <c r="A46" s="2016"/>
      <c r="B46" s="2016" t="s">
        <v>756</v>
      </c>
      <c r="C46" s="2017"/>
    </row>
    <row r="47" spans="1:3">
      <c r="A47" s="2016"/>
      <c r="B47" s="2016" t="s">
        <v>756</v>
      </c>
      <c r="C47" s="2017"/>
    </row>
    <row r="48" spans="1:3">
      <c r="A48" s="2016"/>
      <c r="B48" s="2016" t="s">
        <v>756</v>
      </c>
      <c r="C48" s="2017"/>
    </row>
    <row r="49" spans="1:4">
      <c r="A49" s="2016"/>
      <c r="B49" s="2016" t="s">
        <v>756</v>
      </c>
      <c r="C49" s="2017"/>
    </row>
    <row r="50" spans="1:4">
      <c r="A50" s="2016"/>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为估价委托人在向中国光大银行股份有限公司北京分行办理贷款手续过程中，确定房地产抵押贷款额度提供参考依据而评估房地产抵押价值。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廊坊开发区华祥路东侧、耀华道北侧工业用房房地产作为抵押担保物，向中国光大银行股份有限公司北京分行办理贷款手续。中国光大银行股份有限公司北京分行特委托北京康正宏基房地产评估有限公司对上述抵押物进行评估。本次评估为确定房地产抵押贷款额度提供参考依据而评估房地产抵押价值。</v>
      </c>
      <c r="D51" s="2024" t="s">
        <v>1283</v>
      </c>
    </row>
    <row r="52" spans="1:4">
      <c r="A52" s="2023" t="s">
        <v>857</v>
      </c>
      <c r="B52" s="2023" t="s">
        <v>858</v>
      </c>
      <c r="C52" s="2021" t="s">
        <v>859</v>
      </c>
      <c r="D52" s="2021" t="s">
        <v>860</v>
      </c>
    </row>
    <row r="53" spans="1:4">
      <c r="A53" s="3006"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25日，估价对象规划用途为厂房、仓库、办公土地取得方式为出让，出让国有建设用地使用权剩余土地使用年限为XX年(多用途剩余年限尾数不同时，可只体现小数点后一位)，假定未设立法定优先受偿款下的房地产市场价值。</v>
      </c>
    </row>
    <row r="54" spans="1:4">
      <c r="A54" s="3006"/>
      <c r="B54" s="2024" t="s">
        <v>863</v>
      </c>
      <c r="C54" s="2021" t="s">
        <v>1280</v>
      </c>
    </row>
    <row r="55" spans="1:4">
      <c r="A55" s="3006"/>
      <c r="B55" s="2024" t="s">
        <v>864</v>
      </c>
      <c r="C55" s="2021" t="s">
        <v>1281</v>
      </c>
    </row>
    <row r="56" spans="1:4">
      <c r="A56" s="3006"/>
      <c r="B56" s="2024" t="s">
        <v>865</v>
      </c>
      <c r="C56" s="2021" t="s">
        <v>1285</v>
      </c>
    </row>
    <row r="57" spans="1:4">
      <c r="A57" s="3006"/>
      <c r="B57" s="2024" t="s">
        <v>866</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1751</v>
      </c>
      <c r="B1" s="3007" t="str">
        <f>IF(B10="北京市","北京市",C10)&amp;F10&amp;IF(结果表!G1="在建","出让国有建设用地使用权及在建建筑物",IF(结果表!G1="土地","出让国有建设用地使用权",))&amp;B9&amp;"预评估"</f>
        <v>河北省廊坊市廊坊开发区华祥路东侧、耀华道北侧工业用房房地产抵押价值预评估</v>
      </c>
      <c r="C1" s="3008"/>
      <c r="D1" s="3008"/>
      <c r="E1" s="3008"/>
      <c r="F1" s="3008"/>
      <c r="G1" s="3008"/>
      <c r="H1" s="3008"/>
      <c r="I1" s="300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河北省廊坊市廊坊开发区华祥路东侧、耀华道北侧工业用房房地产抵押价值</v>
      </c>
    </row>
    <row r="2" spans="1:19" ht="18" customHeight="1">
      <c r="A2" s="2028" t="s">
        <v>1752</v>
      </c>
      <c r="B2" s="2945" t="s">
        <v>3215</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河北省廊坊市廊坊开发区华祥路东侧、耀华道北侧工业用房房地产</v>
      </c>
    </row>
    <row r="3" spans="1:19" ht="18" customHeight="1">
      <c r="A3" s="2037" t="s">
        <v>1753</v>
      </c>
      <c r="B3" s="2038">
        <v>43245</v>
      </c>
      <c r="C3" s="2039" t="s">
        <v>1754</v>
      </c>
      <c r="D3" s="2038">
        <f>B3</f>
        <v>43245</v>
      </c>
      <c r="E3" s="2028"/>
      <c r="F3" s="2028"/>
      <c r="G3" s="2028"/>
      <c r="H3" s="2028"/>
      <c r="I3" s="2028"/>
      <c r="J3" s="2028"/>
      <c r="K3" s="2029"/>
      <c r="L3" s="2030"/>
      <c r="M3" s="2030"/>
      <c r="N3" s="2031"/>
      <c r="O3" s="2032"/>
      <c r="P3" s="2031"/>
      <c r="Q3" s="2031"/>
      <c r="R3" s="2031"/>
      <c r="S3" s="2033"/>
    </row>
    <row r="4" spans="1:19" ht="18" customHeight="1" thickBot="1">
      <c r="A4" s="2040" t="s">
        <v>1755</v>
      </c>
      <c r="B4" s="2041" t="s">
        <v>3003</v>
      </c>
      <c r="C4" s="1040">
        <f ca="1">SUMIF(注册房地产估价师,B4,估价师及机构信息!B3:B24)</f>
        <v>1120000080</v>
      </c>
      <c r="D4" s="2041" t="s">
        <v>3004</v>
      </c>
      <c r="E4" s="1041">
        <f ca="1">SUMIF(注册房地产估价师,D4,估价师及机构信息!B3:B24)</f>
        <v>1120100036</v>
      </c>
      <c r="F4" s="2041" t="s">
        <v>69</v>
      </c>
      <c r="G4" s="2042">
        <f>SUMIF(注册房地产估价师,F4,估价师及机构信息!B3:B24)</f>
        <v>0</v>
      </c>
      <c r="H4" s="2041" t="s">
        <v>69</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1756</v>
      </c>
      <c r="B5" s="2946" t="s">
        <v>3133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1757</v>
      </c>
      <c r="B6" s="2947" t="s">
        <v>3229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1758</v>
      </c>
      <c r="B7" s="2053"/>
      <c r="C7" s="2050"/>
      <c r="D7" s="2051"/>
      <c r="E7" s="2036"/>
      <c r="F7" s="2044"/>
      <c r="G7" s="2044"/>
      <c r="H7" s="2044"/>
      <c r="I7" s="2044"/>
      <c r="J7" s="2044"/>
      <c r="K7" s="2054"/>
      <c r="L7" s="2030"/>
      <c r="M7" s="2030"/>
      <c r="N7" s="2031"/>
      <c r="O7" s="2032"/>
      <c r="P7" s="2031"/>
      <c r="Q7" s="2031"/>
      <c r="R7" s="2031"/>
    </row>
    <row r="8" spans="1:19" ht="18" customHeight="1">
      <c r="A8" s="2049" t="s">
        <v>1759</v>
      </c>
      <c r="B8" s="2055" t="s">
        <v>3005</v>
      </c>
      <c r="C8" s="2056"/>
      <c r="D8" s="3010" t="s">
        <v>1760</v>
      </c>
      <c r="E8" s="2057" t="s">
        <v>3006</v>
      </c>
      <c r="F8" s="2058"/>
      <c r="G8" s="2028"/>
      <c r="H8" s="2028"/>
      <c r="I8" s="2028"/>
      <c r="J8" s="2044"/>
      <c r="K8" s="2045"/>
      <c r="L8" s="2030"/>
      <c r="M8" s="2030"/>
      <c r="N8" s="2031"/>
      <c r="O8" s="2032"/>
      <c r="P8" s="2031"/>
      <c r="Q8" s="2031"/>
      <c r="R8" s="2031"/>
    </row>
    <row r="9" spans="1:19" ht="18" customHeight="1" thickBot="1">
      <c r="A9" s="2042" t="s">
        <v>1761</v>
      </c>
      <c r="B9" s="2059" t="s">
        <v>3006</v>
      </c>
      <c r="C9" s="2060"/>
      <c r="D9" s="3011"/>
      <c r="E9" s="2059"/>
      <c r="F9" s="2061"/>
      <c r="G9" s="2062"/>
      <c r="H9" s="2062"/>
      <c r="I9" s="2062"/>
      <c r="J9" s="2044"/>
      <c r="K9" s="2054"/>
      <c r="L9" s="2030"/>
      <c r="M9" s="2030"/>
      <c r="N9" s="2031"/>
      <c r="O9" s="2032"/>
      <c r="P9" s="2031"/>
      <c r="Q9" s="2031"/>
      <c r="R9" s="2031"/>
    </row>
    <row r="10" spans="1:19" ht="18" customHeight="1" thickTop="1">
      <c r="A10" s="2063" t="s">
        <v>1762</v>
      </c>
      <c r="B10" s="2064" t="s">
        <v>3007</v>
      </c>
      <c r="C10" s="2942" t="s">
        <v>3134</v>
      </c>
      <c r="D10" s="2048"/>
      <c r="E10" s="2065" t="s">
        <v>1763</v>
      </c>
      <c r="F10" s="2962" t="s">
        <v>3216</v>
      </c>
      <c r="G10" s="2066"/>
      <c r="H10" s="2067"/>
      <c r="I10" s="2048"/>
      <c r="J10" s="2044"/>
      <c r="K10" s="2054"/>
      <c r="L10" s="2030"/>
      <c r="M10" s="2030"/>
      <c r="N10" s="2031"/>
      <c r="O10" s="2032"/>
      <c r="P10" s="2031"/>
      <c r="Q10" s="2031"/>
      <c r="R10" s="2031"/>
    </row>
    <row r="11" spans="1:19" ht="18" customHeight="1">
      <c r="A11" s="2068" t="s">
        <v>1764</v>
      </c>
      <c r="B11" s="2069" t="s">
        <v>3008</v>
      </c>
      <c r="C11" s="2070" t="str">
        <f>B5</f>
        <v>北京联东金泰投资有限公司</v>
      </c>
      <c r="D11" s="2071"/>
      <c r="E11" s="2044"/>
      <c r="F11" s="2044"/>
      <c r="G11" s="2044"/>
      <c r="H11" s="2044"/>
      <c r="I11" s="2044"/>
      <c r="J11" s="2044"/>
      <c r="K11" s="2054"/>
      <c r="L11" s="2030"/>
      <c r="M11" s="2030"/>
      <c r="N11" s="2031"/>
      <c r="O11" s="2032"/>
      <c r="P11" s="2031"/>
      <c r="Q11" s="2031"/>
      <c r="R11" s="2031"/>
    </row>
    <row r="12" spans="1:19" ht="18" customHeight="1">
      <c r="A12" s="2072" t="s">
        <v>1765</v>
      </c>
      <c r="B12" s="2069" t="s">
        <v>3135</v>
      </c>
      <c r="C12" s="2073" t="s">
        <v>1766</v>
      </c>
      <c r="D12" s="2074" t="s">
        <v>1767</v>
      </c>
      <c r="E12" s="2074" t="s">
        <v>1768</v>
      </c>
      <c r="F12" s="2074" t="s">
        <v>1769</v>
      </c>
      <c r="G12" s="2074" t="s">
        <v>1770</v>
      </c>
      <c r="H12" s="2074" t="s">
        <v>1771</v>
      </c>
      <c r="I12" s="2074" t="s">
        <v>1772</v>
      </c>
      <c r="J12" s="2044"/>
      <c r="K12" s="2054"/>
      <c r="L12" s="2030"/>
      <c r="M12" s="2030"/>
      <c r="N12" s="2031"/>
      <c r="O12" s="2032"/>
      <c r="P12" s="2031"/>
      <c r="Q12" s="2031"/>
      <c r="R12" s="2031"/>
    </row>
    <row r="13" spans="1:19" ht="18" customHeight="1">
      <c r="A13" s="2075"/>
      <c r="B13" s="2076"/>
      <c r="C13" s="2077" t="s">
        <v>1773</v>
      </c>
      <c r="D13" s="2078"/>
      <c r="E13" s="2078"/>
      <c r="F13" s="2078"/>
      <c r="G13" s="2078"/>
      <c r="H13" s="2078">
        <f>I13</f>
        <v>57516</v>
      </c>
      <c r="I13" s="1049">
        <v>57516</v>
      </c>
      <c r="J13" s="2044"/>
      <c r="K13" s="2054"/>
      <c r="L13" s="2030"/>
      <c r="M13" s="2030"/>
      <c r="N13" s="2031"/>
      <c r="O13" s="2032"/>
      <c r="P13" s="2031"/>
      <c r="Q13" s="2031"/>
      <c r="R13" s="2031"/>
    </row>
    <row r="14" spans="1:19" ht="18" customHeight="1">
      <c r="A14" s="2075"/>
      <c r="B14" s="2076"/>
      <c r="C14" s="2077" t="s">
        <v>1774</v>
      </c>
      <c r="D14" s="1052"/>
      <c r="E14" s="1052"/>
      <c r="F14" s="1052"/>
      <c r="G14" s="1052"/>
      <c r="H14" s="1052">
        <v>50</v>
      </c>
      <c r="I14" s="1052">
        <v>50</v>
      </c>
      <c r="J14" s="2044"/>
      <c r="K14" s="2079"/>
      <c r="L14" s="2030"/>
      <c r="M14" s="2030"/>
      <c r="N14" s="2031"/>
      <c r="O14" s="2032"/>
      <c r="P14" s="2031"/>
      <c r="Q14" s="2031"/>
      <c r="R14" s="2031"/>
    </row>
    <row r="15" spans="1:19" ht="18" customHeight="1">
      <c r="A15" s="2063"/>
      <c r="B15" s="2080"/>
      <c r="C15" s="2077" t="s">
        <v>1775</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39.090000000000003</v>
      </c>
      <c r="I15" s="1051">
        <f>IF(B12="出让",IF(I13="","",ROUNDDOWN(MIN((I13-$D$3)/365,I14),2)),I14)</f>
        <v>39.090000000000003</v>
      </c>
      <c r="J15" s="2044"/>
      <c r="K15" s="2081"/>
      <c r="L15" s="2082"/>
      <c r="M15" s="2082"/>
      <c r="N15" s="2083"/>
      <c r="O15" s="2082"/>
      <c r="P15" s="2083"/>
      <c r="Q15" s="2031"/>
      <c r="R15" s="2031"/>
    </row>
    <row r="16" spans="1:19" ht="30.75" customHeight="1">
      <c r="A16" s="2065" t="s">
        <v>1776</v>
      </c>
      <c r="B16" s="3017" t="s">
        <v>3217</v>
      </c>
      <c r="C16" s="3018"/>
      <c r="D16" s="3019"/>
      <c r="E16" s="2084" t="s">
        <v>1777</v>
      </c>
      <c r="F16" s="3020" t="s">
        <v>3218</v>
      </c>
      <c r="G16" s="3021"/>
      <c r="H16" s="3021"/>
      <c r="I16" s="3022"/>
      <c r="J16" s="2031"/>
      <c r="K16" s="2081"/>
      <c r="L16" s="2082"/>
      <c r="M16" s="2082"/>
      <c r="N16" s="2083"/>
      <c r="O16" s="2082"/>
      <c r="P16" s="2083"/>
      <c r="Q16" s="2031"/>
      <c r="R16" s="2031"/>
    </row>
    <row r="17" spans="1:22" ht="18" customHeight="1">
      <c r="A17" s="2085" t="s">
        <v>1778</v>
      </c>
      <c r="B17" s="2037" t="s">
        <v>1779</v>
      </c>
      <c r="C17" s="1056">
        <f>'数据-汇总表'!E3</f>
        <v>45029.380000000005</v>
      </c>
      <c r="D17" s="2086" t="s">
        <v>1780</v>
      </c>
      <c r="E17" s="3023" t="s">
        <v>3219</v>
      </c>
      <c r="F17" s="3024"/>
      <c r="G17" s="3024"/>
      <c r="H17" s="3024"/>
      <c r="I17" s="3025"/>
      <c r="J17" s="2031"/>
      <c r="K17" s="2087"/>
      <c r="L17" s="2082"/>
      <c r="M17" s="2082"/>
      <c r="N17" s="2083"/>
      <c r="O17" s="2082"/>
      <c r="P17" s="2083"/>
      <c r="Q17" s="2031"/>
      <c r="R17" s="2031"/>
      <c r="S17" s="2031"/>
      <c r="T17" s="2031"/>
      <c r="U17" s="2031"/>
      <c r="V17" s="2031"/>
    </row>
    <row r="18" spans="1:22" ht="36" customHeight="1" thickBot="1">
      <c r="A18" s="2088" t="s">
        <v>1781</v>
      </c>
      <c r="B18" s="2040" t="s">
        <v>1782</v>
      </c>
      <c r="C18" s="1446">
        <f>'数据-汇总表'!D3</f>
        <v>62946.5</v>
      </c>
      <c r="D18" s="2089" t="s">
        <v>1780</v>
      </c>
      <c r="E18" s="3026" t="s">
        <v>3220</v>
      </c>
      <c r="F18" s="3027"/>
      <c r="G18" s="3027"/>
      <c r="H18" s="3027"/>
      <c r="I18" s="3028"/>
      <c r="J18" s="2031"/>
      <c r="K18" s="2087"/>
      <c r="L18" s="2082"/>
      <c r="M18" s="2082"/>
      <c r="N18" s="2083"/>
      <c r="O18" s="2082"/>
      <c r="P18" s="2083"/>
      <c r="Q18" s="2031"/>
      <c r="R18" s="2031"/>
      <c r="S18" s="2031"/>
      <c r="T18" s="2031"/>
      <c r="U18" s="2031"/>
      <c r="V18" s="2031"/>
    </row>
    <row r="19" spans="1:22" ht="37.5" customHeight="1" thickTop="1" thickBot="1">
      <c r="A19" s="373" t="s">
        <v>1783</v>
      </c>
      <c r="B19" s="352" t="s">
        <v>1784</v>
      </c>
      <c r="C19" s="2090" t="s">
        <v>3136</v>
      </c>
      <c r="D19" s="2091" t="s">
        <v>1785</v>
      </c>
      <c r="E19" s="2092" t="s">
        <v>3136</v>
      </c>
      <c r="F19" s="2093" t="str">
        <f>IF(AND(C19="是",E19="否"),"是否提供他项权证或相关说明","")</f>
        <v/>
      </c>
      <c r="G19" s="2094" t="s">
        <v>3136</v>
      </c>
      <c r="H19" s="2044"/>
      <c r="I19" s="2044"/>
      <c r="J19" s="2044"/>
      <c r="K19" s="2054"/>
      <c r="L19" s="2030"/>
      <c r="M19" s="2030"/>
      <c r="N19" s="2083"/>
      <c r="O19" s="2082"/>
      <c r="P19" s="2083"/>
      <c r="Q19" s="2031"/>
      <c r="R19" s="2031"/>
      <c r="S19" s="2031"/>
      <c r="T19" s="2031"/>
      <c r="U19" s="2031"/>
      <c r="V19" s="2031"/>
    </row>
    <row r="20" spans="1:22" ht="18" customHeight="1">
      <c r="A20" s="2095" t="s">
        <v>1786</v>
      </c>
      <c r="B20" s="3013" t="s">
        <v>1787</v>
      </c>
      <c r="C20" s="3014"/>
      <c r="D20" s="3015" t="s">
        <v>1788</v>
      </c>
      <c r="E20" s="3016"/>
      <c r="F20" s="2096" t="s">
        <v>1789</v>
      </c>
      <c r="G20" s="2044"/>
      <c r="H20" s="2044"/>
      <c r="I20" s="2044"/>
      <c r="J20" s="2044"/>
      <c r="K20" s="3012" t="s">
        <v>1790</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83"/>
      <c r="O20" s="2082"/>
      <c r="P20" s="2083"/>
      <c r="Q20" s="2031"/>
      <c r="R20" s="2031"/>
      <c r="S20" s="2031"/>
      <c r="T20" s="2031"/>
      <c r="U20" s="2031"/>
      <c r="V20" s="2031"/>
    </row>
    <row r="21" spans="1:22" ht="24.75" customHeight="1">
      <c r="A21" s="2095"/>
      <c r="B21" s="2097" t="s">
        <v>3137</v>
      </c>
      <c r="C21" s="2098" t="s">
        <v>3138</v>
      </c>
      <c r="D21" s="2099"/>
      <c r="E21" s="2100"/>
      <c r="F21" s="2101"/>
      <c r="G21" s="2044"/>
      <c r="H21" s="2044"/>
      <c r="I21" s="2044"/>
      <c r="J21" s="2044"/>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1791</v>
      </c>
      <c r="B23" s="183" t="s">
        <v>1792</v>
      </c>
      <c r="C23" s="2105"/>
      <c r="D23" s="2106" t="s">
        <v>1792</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1793</v>
      </c>
      <c r="C24" s="2110"/>
      <c r="D24" s="2104" t="s">
        <v>1793</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1794</v>
      </c>
      <c r="C25" s="2110"/>
      <c r="D25" s="2104" t="s">
        <v>1794</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1795</v>
      </c>
      <c r="C26" s="2114"/>
      <c r="D26" s="2115" t="s">
        <v>1796</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30" t="s">
        <v>1797</v>
      </c>
      <c r="B27" s="2063" t="s">
        <v>1798</v>
      </c>
      <c r="C27" s="2118" t="s">
        <v>3139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0"/>
      <c r="B28" s="2037" t="s">
        <v>1799</v>
      </c>
      <c r="C28" s="2120" t="s">
        <v>3140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0"/>
      <c r="B29" s="2037" t="s">
        <v>1800</v>
      </c>
      <c r="C29" s="2123" t="s">
        <v>3136</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1"/>
      <c r="B30" s="2037" t="s">
        <v>1801</v>
      </c>
      <c r="C30" s="3032"/>
      <c r="D30" s="303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4" t="s">
        <v>1802</v>
      </c>
      <c r="B31" s="2125" t="s">
        <v>3141</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35"/>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35"/>
      <c r="B33" s="2129"/>
      <c r="C33" s="2068"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1803</v>
      </c>
      <c r="B34" s="2132" t="s">
        <v>3142</v>
      </c>
      <c r="C34" s="2132" t="s">
        <v>3143</v>
      </c>
      <c r="D34" s="2132" t="s">
        <v>3144</v>
      </c>
      <c r="E34" s="2132" t="s">
        <v>3145</v>
      </c>
      <c r="F34" s="2132" t="s">
        <v>3146</v>
      </c>
      <c r="G34" s="2132" t="s">
        <v>3147</v>
      </c>
      <c r="H34" s="2132"/>
      <c r="I34" s="2044"/>
      <c r="J34" s="2044"/>
      <c r="K34" s="1797">
        <f>COUNTIF(B34:H34,"——")</f>
        <v>0</v>
      </c>
      <c r="L34" s="2073" t="s">
        <v>1804</v>
      </c>
      <c r="M34" s="2073" t="s">
        <v>1805</v>
      </c>
      <c r="N34" s="2073" t="s">
        <v>1806</v>
      </c>
      <c r="O34" s="2073" t="s">
        <v>1807</v>
      </c>
      <c r="P34" s="2073" t="s">
        <v>1808</v>
      </c>
      <c r="Q34" s="2073" t="s">
        <v>1809</v>
      </c>
      <c r="R34" s="2073" t="s">
        <v>1810</v>
      </c>
      <c r="S34" s="3029" t="s">
        <v>1811</v>
      </c>
      <c r="T34" s="2133" t="str">
        <f>NUMBERSTRING(7-K34,1)&amp;"通"</f>
        <v>七通</v>
      </c>
      <c r="U34" s="2031"/>
      <c r="V34" s="2031"/>
    </row>
    <row r="35" spans="1:22" ht="18" customHeight="1">
      <c r="A35" s="2134"/>
      <c r="B35" s="3036" t="s">
        <v>1812</v>
      </c>
      <c r="C35" s="3036"/>
      <c r="D35" s="3036"/>
      <c r="E35" s="3036"/>
      <c r="F35" s="2135" t="str">
        <f>C10</f>
        <v>河北省廊坊市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9"/>
      <c r="T35" s="48" t="str">
        <f>IF(T34="一通",L35,IF(T34="二通",M35,IF(T34="三通",N35,IF(T34="四通",O35,IF(T34="五通",P35,IF(T34="六通",Q35,R35))))))</f>
        <v>通路、通电、通讯、通上水、通下水、通热、</v>
      </c>
      <c r="U35" s="2031"/>
      <c r="V35" s="2031"/>
    </row>
    <row r="36" spans="1:22" ht="18" customHeight="1">
      <c r="A36" s="2136"/>
      <c r="B36" s="2135" t="s">
        <v>1813</v>
      </c>
      <c r="C36" s="2135" t="s">
        <v>1814</v>
      </c>
      <c r="D36" s="2135" t="s">
        <v>1815</v>
      </c>
      <c r="E36" s="2135" t="s">
        <v>1816</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1817</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1818</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1819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1820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1821</v>
      </c>
      <c r="B42" s="1797" t="s">
        <v>1822</v>
      </c>
      <c r="C42" s="1797" t="s">
        <v>1823</v>
      </c>
      <c r="D42" s="1797" t="s">
        <v>1824</v>
      </c>
      <c r="E42" s="1797" t="s">
        <v>1825</v>
      </c>
      <c r="F42" s="1797" t="s">
        <v>1826</v>
      </c>
      <c r="G42" s="1797" t="s">
        <v>1827</v>
      </c>
      <c r="H42" s="1797" t="s">
        <v>1828</v>
      </c>
      <c r="I42" s="1797" t="s">
        <v>1829</v>
      </c>
      <c r="J42" s="2151" t="s">
        <v>1830</v>
      </c>
      <c r="K42" s="2074" t="s">
        <v>1831</v>
      </c>
      <c r="L42" s="2074" t="s">
        <v>1832</v>
      </c>
      <c r="M42" s="2074" t="s">
        <v>1833</v>
      </c>
      <c r="N42" s="1797" t="s">
        <v>1834</v>
      </c>
      <c r="O42" s="1797" t="s">
        <v>1835</v>
      </c>
      <c r="P42" s="1797" t="s">
        <v>1836</v>
      </c>
      <c r="Q42" s="2073" t="s">
        <v>1837</v>
      </c>
      <c r="R42" s="2073" t="s">
        <v>1838</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1839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1840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1841</v>
      </c>
      <c r="B2" s="11" t="s">
        <v>1842</v>
      </c>
      <c r="C2" s="11" t="s">
        <v>1843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1844</v>
      </c>
      <c r="AZ2" s="1272" t="s">
        <v>1845</v>
      </c>
      <c r="BA2" s="11" t="s">
        <v>1846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62946.5</v>
      </c>
      <c r="B3" s="14">
        <f>IF(C3="否",G5-AT5,G5)</f>
        <v>45029.380000000005</v>
      </c>
      <c r="C3" s="2167" t="s">
        <v>3148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1847</v>
      </c>
      <c r="B5" s="1805"/>
      <c r="C5" s="1805"/>
      <c r="D5" s="1808"/>
      <c r="E5" s="16" t="s">
        <v>1</v>
      </c>
      <c r="F5" s="16">
        <f>SUM(F13:F587)</f>
        <v>0</v>
      </c>
      <c r="G5" s="16">
        <f>SUM(G13:G587)</f>
        <v>45029.380000000005</v>
      </c>
      <c r="H5" s="16">
        <f t="shared" ref="H5:AT5" si="0">SUM(H13:H656)</f>
        <v>43891.520000000004</v>
      </c>
      <c r="I5" s="16">
        <f t="shared" si="0"/>
        <v>35490.479999999996</v>
      </c>
      <c r="J5" s="16">
        <f t="shared" si="0"/>
        <v>0</v>
      </c>
      <c r="K5" s="16">
        <f t="shared" si="0"/>
        <v>5727.82</v>
      </c>
      <c r="L5" s="16">
        <f t="shared" si="0"/>
        <v>0</v>
      </c>
      <c r="M5" s="16">
        <f t="shared" si="0"/>
        <v>2673.22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1137.8599999999999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1137.8599999999999</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1847</v>
      </c>
      <c r="AW5" s="1805"/>
      <c r="AX5" s="1805"/>
      <c r="AY5" s="17" t="s">
        <v>3</v>
      </c>
      <c r="AZ5" s="18">
        <f t="shared" ref="AZ5:BT5" si="1">SUM(AZ13:AZ656)</f>
        <v>45029.380000000005</v>
      </c>
      <c r="BA5" s="18">
        <f t="shared" si="1"/>
        <v>43891.520000000004</v>
      </c>
      <c r="BB5" s="18">
        <f t="shared" si="1"/>
        <v>35490.479999999996</v>
      </c>
      <c r="BC5" s="18">
        <f t="shared" si="1"/>
        <v>5727.82</v>
      </c>
      <c r="BD5" s="18">
        <f t="shared" si="1"/>
        <v>2673.22</v>
      </c>
      <c r="BE5" s="18">
        <f t="shared" si="1"/>
        <v>0</v>
      </c>
      <c r="BF5" s="18">
        <f t="shared" si="1"/>
        <v>0</v>
      </c>
      <c r="BG5" s="18">
        <f t="shared" si="1"/>
        <v>0</v>
      </c>
      <c r="BH5" s="18">
        <f t="shared" si="1"/>
        <v>0</v>
      </c>
      <c r="BI5" s="18">
        <f t="shared" si="1"/>
        <v>0</v>
      </c>
      <c r="BJ5" s="18">
        <f t="shared" si="1"/>
        <v>0</v>
      </c>
      <c r="BK5" s="18">
        <f t="shared" si="1"/>
        <v>0</v>
      </c>
      <c r="BL5" s="18">
        <f t="shared" si="1"/>
        <v>1137.8599999999999</v>
      </c>
      <c r="BM5" s="18">
        <f t="shared" si="1"/>
        <v>0</v>
      </c>
      <c r="BN5" s="18">
        <f t="shared" si="1"/>
        <v>0</v>
      </c>
      <c r="BO5" s="18">
        <f t="shared" si="1"/>
        <v>0</v>
      </c>
      <c r="BP5" s="18">
        <f t="shared" si="1"/>
        <v>0</v>
      </c>
      <c r="BQ5" s="18">
        <f t="shared" si="1"/>
        <v>1137.8599999999999</v>
      </c>
      <c r="BR5" s="18">
        <f t="shared" si="1"/>
        <v>0</v>
      </c>
      <c r="BS5" s="18">
        <f t="shared" si="1"/>
        <v>0</v>
      </c>
      <c r="BT5" s="19">
        <f t="shared" si="1"/>
        <v>0</v>
      </c>
    </row>
    <row r="6" spans="1:72" s="2176" customFormat="1" ht="12.75">
      <c r="A6" s="15" t="s">
        <v>1848</v>
      </c>
      <c r="B6" s="2173"/>
      <c r="C6" s="2173"/>
      <c r="D6" s="2174"/>
      <c r="E6" s="16">
        <f>H6+AC6+AT6</f>
        <v>62946.5</v>
      </c>
      <c r="F6" s="16" t="s">
        <v>1</v>
      </c>
      <c r="G6" s="16" t="s">
        <v>2</v>
      </c>
      <c r="H6" s="20">
        <f>SUMIF(I$12:AB$12,"总值",I6:AB6)</f>
        <v>61355.89</v>
      </c>
      <c r="I6" s="16">
        <f t="shared" ref="I6:AB6" si="2">ROUND($A$3*I5/$B$3,2)</f>
        <v>49612.09</v>
      </c>
      <c r="J6" s="16">
        <f t="shared" si="2"/>
        <v>0</v>
      </c>
      <c r="K6" s="16">
        <f t="shared" si="2"/>
        <v>8006.91</v>
      </c>
      <c r="L6" s="16">
        <f t="shared" si="2"/>
        <v>0</v>
      </c>
      <c r="M6" s="16">
        <f t="shared" si="2"/>
        <v>3736.89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1590.61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1590.61</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1848</v>
      </c>
      <c r="AW6" s="2173"/>
      <c r="AX6" s="2173"/>
      <c r="AY6" s="21">
        <f>IF(AY3&gt;0,AY3,ROUND($A$3*AZ5/$B$3,2))</f>
        <v>62946.5</v>
      </c>
      <c r="AZ6" s="16" t="s">
        <v>3</v>
      </c>
      <c r="BA6" s="16">
        <f>ROUND($AY$6*BA5/$AZ$5,2)</f>
        <v>61355.89</v>
      </c>
      <c r="BB6" s="16">
        <f>ROUND($AY$6*BB5/$AZ$5,2)</f>
        <v>49612.09</v>
      </c>
      <c r="BC6" s="16">
        <f t="shared" ref="BC6:BH6" si="4">ROUND($AY$6*BC5/$AZ$5,2)</f>
        <v>8006.91</v>
      </c>
      <c r="BD6" s="16">
        <f t="shared" si="4"/>
        <v>3736.89</v>
      </c>
      <c r="BE6" s="16">
        <f t="shared" si="4"/>
        <v>0</v>
      </c>
      <c r="BF6" s="16">
        <f t="shared" si="4"/>
        <v>0</v>
      </c>
      <c r="BG6" s="16">
        <f t="shared" si="4"/>
        <v>0</v>
      </c>
      <c r="BH6" s="16">
        <f t="shared" si="4"/>
        <v>0</v>
      </c>
      <c r="BI6" s="16">
        <f t="shared" ref="BI6:BT6" si="5">ROUND($AY$6*BI5/$AZ$5,2)</f>
        <v>0</v>
      </c>
      <c r="BJ6" s="16">
        <f t="shared" si="5"/>
        <v>0</v>
      </c>
      <c r="BK6" s="16">
        <f t="shared" si="5"/>
        <v>0</v>
      </c>
      <c r="BL6" s="16">
        <f t="shared" si="5"/>
        <v>1590.61</v>
      </c>
      <c r="BM6" s="16">
        <f t="shared" si="5"/>
        <v>0</v>
      </c>
      <c r="BN6" s="16">
        <f t="shared" si="5"/>
        <v>0</v>
      </c>
      <c r="BO6" s="16">
        <f t="shared" si="5"/>
        <v>0</v>
      </c>
      <c r="BP6" s="16">
        <f t="shared" si="5"/>
        <v>0</v>
      </c>
      <c r="BQ6" s="16">
        <f t="shared" si="5"/>
        <v>1590.61</v>
      </c>
      <c r="BR6" s="16">
        <f t="shared" si="5"/>
        <v>0</v>
      </c>
      <c r="BS6" s="16">
        <f t="shared" si="5"/>
        <v>0</v>
      </c>
      <c r="BT6" s="22">
        <f t="shared" si="5"/>
        <v>0</v>
      </c>
    </row>
    <row r="7" spans="1:72" s="2166" customFormat="1" ht="24.75">
      <c r="A7" s="2108" t="s">
        <v>1849</v>
      </c>
      <c r="B7" s="2108" t="s">
        <v>1850</v>
      </c>
      <c r="C7" s="2108" t="s">
        <v>1851</v>
      </c>
      <c r="D7" s="2108" t="s">
        <v>1852</v>
      </c>
      <c r="E7" s="2108" t="s">
        <v>1853</v>
      </c>
      <c r="F7" s="2108" t="s">
        <v>1854</v>
      </c>
      <c r="G7" s="2177" t="s">
        <v>1855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1856</v>
      </c>
      <c r="AV7" s="23" t="s">
        <v>1857</v>
      </c>
      <c r="AW7" s="2165" t="s">
        <v>1858</v>
      </c>
      <c r="AX7" s="23" t="s">
        <v>1851</v>
      </c>
      <c r="AY7" s="1805" t="s">
        <v>1859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1860</v>
      </c>
      <c r="H8" s="2183" t="s">
        <v>1861</v>
      </c>
      <c r="I8" s="2184"/>
      <c r="J8" s="1820"/>
      <c r="K8" s="1820"/>
      <c r="L8" s="1820"/>
      <c r="M8" s="1820"/>
      <c r="N8" s="1820"/>
      <c r="O8" s="1820"/>
      <c r="P8" s="1820"/>
      <c r="Q8" s="1820"/>
      <c r="R8" s="1820"/>
      <c r="S8" s="1820"/>
      <c r="T8" s="1820"/>
      <c r="U8" s="1820"/>
      <c r="V8" s="2185"/>
      <c r="W8" s="1820"/>
      <c r="X8" s="1820"/>
      <c r="Y8" s="1820"/>
      <c r="Z8" s="1820"/>
      <c r="AA8" s="2185"/>
      <c r="AB8" s="2186"/>
      <c r="AC8" s="984" t="s">
        <v>1862</v>
      </c>
      <c r="AD8" s="2187"/>
      <c r="AE8" s="2179"/>
      <c r="AF8" s="1820"/>
      <c r="AG8" s="1820"/>
      <c r="AH8" s="1820"/>
      <c r="AI8" s="1820"/>
      <c r="AJ8" s="1820"/>
      <c r="AK8" s="1820"/>
      <c r="AL8" s="1820"/>
      <c r="AM8" s="1820"/>
      <c r="AN8" s="1820"/>
      <c r="AO8" s="1820"/>
      <c r="AP8" s="1820"/>
      <c r="AQ8" s="1820"/>
      <c r="AR8" s="1820"/>
      <c r="AS8" s="1820"/>
      <c r="AT8" s="1294" t="s">
        <v>1863</v>
      </c>
      <c r="AU8" s="2181" t="s">
        <v>1864</v>
      </c>
      <c r="AV8" s="1294"/>
      <c r="AW8" s="2164"/>
      <c r="AX8" s="1294"/>
      <c r="AY8" s="2165" t="s">
        <v>1865</v>
      </c>
      <c r="AZ8" s="1819" t="s">
        <v>1866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1867</v>
      </c>
      <c r="I9" s="2190" t="s">
        <v>3149</v>
      </c>
      <c r="J9" s="984"/>
      <c r="K9" s="2190" t="s">
        <v>3149</v>
      </c>
      <c r="L9" s="984"/>
      <c r="M9" s="2190" t="s">
        <v>3149</v>
      </c>
      <c r="N9" s="984"/>
      <c r="O9" s="2190"/>
      <c r="P9" s="984"/>
      <c r="Q9" s="2190"/>
      <c r="R9" s="984"/>
      <c r="S9" s="2190"/>
      <c r="T9" s="984"/>
      <c r="U9" s="2190"/>
      <c r="V9" s="984"/>
      <c r="W9" s="2190"/>
      <c r="X9" s="2191"/>
      <c r="Y9" s="2190"/>
      <c r="Z9" s="984"/>
      <c r="AA9" s="2190"/>
      <c r="AB9" s="984"/>
      <c r="AC9" s="2182" t="s">
        <v>1867</v>
      </c>
      <c r="AD9" s="15" t="s">
        <v>1868</v>
      </c>
      <c r="AE9" s="1300"/>
      <c r="AF9" s="15" t="s">
        <v>1869</v>
      </c>
      <c r="AG9" s="1300"/>
      <c r="AH9" s="15" t="s">
        <v>1868</v>
      </c>
      <c r="AI9" s="1300"/>
      <c r="AJ9" s="15" t="s">
        <v>1869</v>
      </c>
      <c r="AK9" s="1300"/>
      <c r="AL9" s="15" t="s">
        <v>1868</v>
      </c>
      <c r="AM9" s="1300"/>
      <c r="AN9" s="15" t="s">
        <v>1869</v>
      </c>
      <c r="AO9" s="1300"/>
      <c r="AP9" s="15" t="s">
        <v>1868</v>
      </c>
      <c r="AQ9" s="1300"/>
      <c r="AR9" s="15" t="s">
        <v>1869</v>
      </c>
      <c r="AS9" s="2192"/>
      <c r="AT9" s="2181"/>
      <c r="AU9" s="2181" t="s">
        <v>1870</v>
      </c>
      <c r="AV9" s="1294"/>
      <c r="AW9" s="2164"/>
      <c r="AX9" s="1294"/>
      <c r="AY9" s="28"/>
      <c r="AZ9" s="28" t="s">
        <v>1860</v>
      </c>
      <c r="BA9" s="2193" t="s">
        <v>1871</v>
      </c>
      <c r="BB9" s="2194"/>
      <c r="BC9" s="1340"/>
      <c r="BD9" s="1340"/>
      <c r="BE9" s="1340"/>
      <c r="BF9" s="1340"/>
      <c r="BG9" s="1340"/>
      <c r="BH9" s="1340"/>
      <c r="BI9" s="1340"/>
      <c r="BJ9" s="1340"/>
      <c r="BK9" s="2195"/>
      <c r="BL9" s="15" t="s">
        <v>1872</v>
      </c>
      <c r="BM9" s="1820"/>
      <c r="BN9" s="2184"/>
      <c r="BO9" s="1820"/>
      <c r="BP9" s="1820"/>
      <c r="BQ9" s="1820"/>
      <c r="BR9" s="1820"/>
      <c r="BS9" s="1820"/>
      <c r="BT9" s="26"/>
    </row>
    <row r="10" spans="1:72" s="2188" customFormat="1" ht="12.75">
      <c r="A10" s="2181"/>
      <c r="B10" s="2181"/>
      <c r="C10" s="2181"/>
      <c r="D10" s="2181"/>
      <c r="E10" s="2181"/>
      <c r="F10" s="2181"/>
      <c r="G10" s="1294"/>
      <c r="H10" s="28"/>
      <c r="I10" s="2190" t="s">
        <v>6</v>
      </c>
      <c r="J10" s="984"/>
      <c r="K10" s="2196" t="s">
        <v>6</v>
      </c>
      <c r="L10" s="984"/>
      <c r="M10" s="2196" t="s">
        <v>6</v>
      </c>
      <c r="N10" s="984"/>
      <c r="O10" s="2196"/>
      <c r="P10" s="984"/>
      <c r="Q10" s="2196"/>
      <c r="R10" s="984"/>
      <c r="S10" s="2196"/>
      <c r="T10" s="984"/>
      <c r="U10" s="2196"/>
      <c r="V10" s="984"/>
      <c r="W10" s="2196"/>
      <c r="X10" s="984"/>
      <c r="Y10" s="2196"/>
      <c r="Z10" s="984"/>
      <c r="AA10" s="2196"/>
      <c r="AB10" s="984"/>
      <c r="AC10" s="1294"/>
      <c r="AD10" s="15" t="s">
        <v>1873</v>
      </c>
      <c r="AE10" s="2197"/>
      <c r="AF10" s="15" t="s">
        <v>1873</v>
      </c>
      <c r="AG10" s="2197"/>
      <c r="AH10" s="15" t="s">
        <v>1874</v>
      </c>
      <c r="AI10" s="2197"/>
      <c r="AJ10" s="15" t="s">
        <v>1874</v>
      </c>
      <c r="AK10" s="2197"/>
      <c r="AL10" s="15" t="s">
        <v>1875</v>
      </c>
      <c r="AM10" s="1300"/>
      <c r="AN10" s="15" t="s">
        <v>1875</v>
      </c>
      <c r="AO10" s="1300"/>
      <c r="AP10" s="15" t="s">
        <v>1876</v>
      </c>
      <c r="AQ10" s="1300"/>
      <c r="AR10" s="15" t="s">
        <v>1876</v>
      </c>
      <c r="AS10" s="1300"/>
      <c r="AT10" s="2181"/>
      <c r="AU10" s="2181"/>
      <c r="AV10" s="1294"/>
      <c r="AW10" s="2164"/>
      <c r="AX10" s="1294"/>
      <c r="AY10" s="28"/>
      <c r="AZ10" s="28"/>
      <c r="BA10" s="2198" t="s">
        <v>1867</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1867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3150</v>
      </c>
      <c r="J11" s="2202"/>
      <c r="K11" s="2201" t="s">
        <v>26</v>
      </c>
      <c r="L11" s="2202"/>
      <c r="M11" s="2201" t="s">
        <v>3153</v>
      </c>
      <c r="N11" s="2202"/>
      <c r="O11" s="2201"/>
      <c r="P11" s="2202"/>
      <c r="Q11" s="2201"/>
      <c r="R11" s="2202"/>
      <c r="S11" s="2201"/>
      <c r="T11" s="2202"/>
      <c r="U11" s="2201"/>
      <c r="V11" s="2202"/>
      <c r="W11" s="2201"/>
      <c r="X11" s="2202"/>
      <c r="Y11" s="2201"/>
      <c r="Z11" s="2202"/>
      <c r="AA11" s="2201"/>
      <c r="AB11" s="2202"/>
      <c r="AC11" s="1294"/>
      <c r="AD11" s="2203" t="s">
        <v>1877</v>
      </c>
      <c r="AE11" s="1821"/>
      <c r="AF11" s="2203" t="s">
        <v>1877</v>
      </c>
      <c r="AG11" s="1821"/>
      <c r="AH11" s="2203" t="s">
        <v>1878</v>
      </c>
      <c r="AI11" s="2204"/>
      <c r="AJ11" s="2203" t="s">
        <v>1878</v>
      </c>
      <c r="AK11" s="1821"/>
      <c r="AL11" s="1819"/>
      <c r="AM11" s="1821"/>
      <c r="AN11" s="1819"/>
      <c r="AO11" s="1821"/>
      <c r="AP11" s="1819"/>
      <c r="AQ11" s="1821"/>
      <c r="AR11" s="1819"/>
      <c r="AS11" s="1821"/>
      <c r="AT11" s="2164"/>
      <c r="AU11" s="2181"/>
      <c r="AV11" s="1294"/>
      <c r="AW11" s="2164"/>
      <c r="AX11" s="1294"/>
      <c r="AY11" s="28"/>
      <c r="AZ11" s="28"/>
      <c r="BA11" s="28"/>
      <c r="BB11" s="2186" t="str">
        <f>I10</f>
        <v>工业</v>
      </c>
      <c r="BC11" s="2186" t="str">
        <f>K10</f>
        <v>工业</v>
      </c>
      <c r="BD11" s="2186" t="str">
        <f>M10</f>
        <v>工业</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1879</v>
      </c>
      <c r="J12" s="11" t="s">
        <v>1880</v>
      </c>
      <c r="K12" s="11" t="s">
        <v>1879</v>
      </c>
      <c r="L12" s="11" t="s">
        <v>1880</v>
      </c>
      <c r="M12" s="11" t="s">
        <v>1879</v>
      </c>
      <c r="N12" s="11" t="s">
        <v>1880</v>
      </c>
      <c r="O12" s="11" t="s">
        <v>1879</v>
      </c>
      <c r="P12" s="11" t="s">
        <v>1880</v>
      </c>
      <c r="Q12" s="11" t="s">
        <v>1879</v>
      </c>
      <c r="R12" s="11" t="s">
        <v>1880</v>
      </c>
      <c r="S12" s="11" t="s">
        <v>1879</v>
      </c>
      <c r="T12" s="11" t="s">
        <v>1880</v>
      </c>
      <c r="U12" s="11" t="s">
        <v>1879</v>
      </c>
      <c r="V12" s="1804" t="s">
        <v>1880</v>
      </c>
      <c r="W12" s="11" t="s">
        <v>1879</v>
      </c>
      <c r="X12" s="11" t="s">
        <v>1880</v>
      </c>
      <c r="Y12" s="11" t="s">
        <v>1879</v>
      </c>
      <c r="Z12" s="11" t="s">
        <v>1880</v>
      </c>
      <c r="AA12" s="11" t="s">
        <v>1879</v>
      </c>
      <c r="AB12" s="11" t="s">
        <v>1880</v>
      </c>
      <c r="AC12" s="2208"/>
      <c r="AD12" s="1808" t="s">
        <v>1879</v>
      </c>
      <c r="AE12" s="11" t="s">
        <v>1880</v>
      </c>
      <c r="AF12" s="11" t="s">
        <v>1879</v>
      </c>
      <c r="AG12" s="11" t="s">
        <v>1880</v>
      </c>
      <c r="AH12" s="11" t="s">
        <v>1879</v>
      </c>
      <c r="AI12" s="11" t="s">
        <v>1880</v>
      </c>
      <c r="AJ12" s="11" t="s">
        <v>1879</v>
      </c>
      <c r="AK12" s="11" t="s">
        <v>1880</v>
      </c>
      <c r="AL12" s="11" t="s">
        <v>1879</v>
      </c>
      <c r="AM12" s="11" t="s">
        <v>1880</v>
      </c>
      <c r="AN12" s="11" t="s">
        <v>1879</v>
      </c>
      <c r="AO12" s="11" t="s">
        <v>1880</v>
      </c>
      <c r="AP12" s="11" t="s">
        <v>1879</v>
      </c>
      <c r="AQ12" s="11" t="s">
        <v>1880</v>
      </c>
      <c r="AR12" s="30" t="s">
        <v>1879</v>
      </c>
      <c r="AS12" s="2206" t="s">
        <v>1880</v>
      </c>
      <c r="AT12" s="2209"/>
      <c r="AU12" s="2206"/>
      <c r="AV12" s="31"/>
      <c r="AW12" s="2165"/>
      <c r="AX12" s="31"/>
      <c r="AY12" s="2210"/>
      <c r="AZ12" s="28"/>
      <c r="BA12" s="2198"/>
      <c r="BB12" s="24" t="str">
        <f>I11</f>
        <v>厂房</v>
      </c>
      <c r="BC12" s="2211" t="str">
        <f>K11</f>
        <v>办公</v>
      </c>
      <c r="BD12" s="2211" t="str">
        <f>M11</f>
        <v>仓储</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v>1</v>
      </c>
      <c r="D13" s="2212" t="s">
        <v>3148</v>
      </c>
      <c r="E13" s="16">
        <f>IF($C$3="是",ROUND($A$3*G13/$B$3,2),ROUND($A$3*(G13-AT13)/$B$3,2))</f>
        <v>32.33</v>
      </c>
      <c r="F13" s="32"/>
      <c r="G13" s="33">
        <f>H13+AC13+AT13</f>
        <v>23.13</v>
      </c>
      <c r="H13" s="20">
        <f>SUMIF(I$12:AB$12,"总值",I13:AB13)</f>
        <v>0</v>
      </c>
      <c r="I13" s="2213"/>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23.13</v>
      </c>
      <c r="AD13" s="2214"/>
      <c r="AE13" s="2214"/>
      <c r="AF13" s="2214"/>
      <c r="AG13" s="2214"/>
      <c r="AH13" s="2214"/>
      <c r="AI13" s="2214"/>
      <c r="AJ13" s="2214"/>
      <c r="AK13" s="2214"/>
      <c r="AL13" s="2214">
        <v>23.13</v>
      </c>
      <c r="AM13" s="2214"/>
      <c r="AN13" s="2214"/>
      <c r="AO13" s="2214"/>
      <c r="AP13" s="2214"/>
      <c r="AQ13" s="2214"/>
      <c r="AR13" s="2214"/>
      <c r="AS13" s="2214"/>
      <c r="AT13" s="2215"/>
      <c r="AU13" s="2216"/>
      <c r="AV13" s="11">
        <f t="shared" ref="AV13:AX17" si="6">A13</f>
        <v>0</v>
      </c>
      <c r="AW13" s="11">
        <f t="shared" si="6"/>
        <v>0</v>
      </c>
      <c r="AX13" s="11">
        <f t="shared" si="6"/>
        <v>1</v>
      </c>
      <c r="AY13" s="1808">
        <f>ROUND($AY$6*AZ13/$AZ$5,2)</f>
        <v>32.33</v>
      </c>
      <c r="AZ13" s="16">
        <f>BA13+BL13</f>
        <v>23.13</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23.13</v>
      </c>
      <c r="BM13" s="16">
        <f>IF($D13="是",AD13-AE13,0)</f>
        <v>0</v>
      </c>
      <c r="BN13" s="16">
        <f>IF($D13="是",AF13-AG13,0)</f>
        <v>0</v>
      </c>
      <c r="BO13" s="16">
        <f>IF($D13="是",AH13-AI13,0)</f>
        <v>0</v>
      </c>
      <c r="BP13" s="16">
        <f>IF($D13="是",AJ13-AK13,0)</f>
        <v>0</v>
      </c>
      <c r="BQ13" s="16">
        <f>IF($D13="是",AL13-AM13,0)</f>
        <v>23.13</v>
      </c>
      <c r="BR13" s="16">
        <f>IF($D13="是",AN13-AO13,0)</f>
        <v>0</v>
      </c>
      <c r="BS13" s="16">
        <f>IF($D13="是",AP13-AQ13,0)</f>
        <v>0</v>
      </c>
      <c r="BT13" s="22">
        <f>IF($D13="是",AR13-AS13,0)</f>
        <v>0</v>
      </c>
    </row>
    <row r="14" spans="1:72" s="2166" customFormat="1" ht="12.75">
      <c r="A14" s="1274"/>
      <c r="B14" s="1274"/>
      <c r="C14" s="1274">
        <v>2</v>
      </c>
      <c r="D14" s="2212" t="s">
        <v>3148</v>
      </c>
      <c r="E14" s="16">
        <f>IF($C$3="是",ROUND($A$3*G14/$B$3,2),ROUND($A$3*(G14-AT14)/$B$3,2))</f>
        <v>8006.91</v>
      </c>
      <c r="F14" s="32"/>
      <c r="G14" s="33">
        <f>H14+AC14+AT14</f>
        <v>5727.82</v>
      </c>
      <c r="H14" s="20">
        <f>SUMIF(I$12:AB$12,"总值",I14:AB14)</f>
        <v>5727.82</v>
      </c>
      <c r="I14" s="2213"/>
      <c r="J14" s="2213"/>
      <c r="K14" s="2213">
        <v>5727.82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8">
        <f>ROUND($AY$6*AZ14/$AZ$5,2)</f>
        <v>8006.91</v>
      </c>
      <c r="AZ14" s="16">
        <f>BA14+BL14</f>
        <v>5727.82</v>
      </c>
      <c r="BA14" s="16">
        <f>SUM(BB14:BK14)</f>
        <v>5727.82</v>
      </c>
      <c r="BB14" s="16">
        <f>IF($D14="是",I14-J14,0)</f>
        <v>0</v>
      </c>
      <c r="BC14" s="16">
        <f>IF($D14="是",K14-L14,0)</f>
        <v>5727.82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1274">
        <v>3</v>
      </c>
      <c r="D15" s="2212" t="s">
        <v>3148</v>
      </c>
      <c r="E15" s="16">
        <f>IF($C$3="是",ROUND($A$3*G15/$B$3,2),ROUND($A$3*(G15-AT15)/$B$3,2))</f>
        <v>31077.35</v>
      </c>
      <c r="F15" s="32"/>
      <c r="G15" s="33">
        <f>H15+AC15+AT15</f>
        <v>22231.48</v>
      </c>
      <c r="H15" s="20">
        <f>SUMIF(I$12:AB$12,"总值",I15:AB15)</f>
        <v>22231.48</v>
      </c>
      <c r="I15" s="2213">
        <v>22231.48</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8">
        <f>ROUND($AY$6*AZ15/$AZ$5,2)</f>
        <v>31077.35</v>
      </c>
      <c r="AZ15" s="16">
        <f>BA15+BL15</f>
        <v>22231.48</v>
      </c>
      <c r="BA15" s="16">
        <f>SUM(BB15:BK15)</f>
        <v>22231.48</v>
      </c>
      <c r="BB15" s="16">
        <f>IF($D15="是",I15-J15,0)</f>
        <v>22231.48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1274">
        <v>4</v>
      </c>
      <c r="D16" s="2212" t="s">
        <v>3148</v>
      </c>
      <c r="E16" s="16">
        <f>IF($C$3="是",ROUND($A$3*G16/$B$3,2),ROUND($A$3*(G16-AT16)/$B$3,2))</f>
        <v>183.74</v>
      </c>
      <c r="F16" s="32"/>
      <c r="G16" s="33">
        <f>H16+AC16+AT16</f>
        <v>131.44</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131.44</v>
      </c>
      <c r="AD16" s="2214"/>
      <c r="AE16" s="2214"/>
      <c r="AF16" s="2214"/>
      <c r="AG16" s="2214"/>
      <c r="AH16" s="2214"/>
      <c r="AI16" s="2214"/>
      <c r="AJ16" s="2214"/>
      <c r="AK16" s="2214"/>
      <c r="AL16" s="2214">
        <v>131.44</v>
      </c>
      <c r="AM16" s="2214"/>
      <c r="AN16" s="2214"/>
      <c r="AO16" s="2214"/>
      <c r="AP16" s="2214"/>
      <c r="AQ16" s="2214"/>
      <c r="AR16" s="2214"/>
      <c r="AS16" s="2214"/>
      <c r="AT16" s="2215"/>
      <c r="AU16" s="2216"/>
      <c r="AV16" s="11">
        <f t="shared" si="6"/>
        <v>0</v>
      </c>
      <c r="AW16" s="11">
        <f t="shared" si="6"/>
        <v>0</v>
      </c>
      <c r="AX16" s="11">
        <f t="shared" si="6"/>
        <v>4</v>
      </c>
      <c r="AY16" s="1808">
        <f>ROUND($AY$6*AZ16/$AZ$5,2)</f>
        <v>183.74</v>
      </c>
      <c r="AZ16" s="16">
        <f>BA16+BL16</f>
        <v>131.44</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131.44</v>
      </c>
      <c r="BM16" s="16">
        <f>IF($D16="是",AD16-AE16,0)</f>
        <v>0</v>
      </c>
      <c r="BN16" s="16">
        <f>IF($D16="是",AF16-AG16,0)</f>
        <v>0</v>
      </c>
      <c r="BO16" s="16">
        <f>IF($D16="是",AH16-AI16,0)</f>
        <v>0</v>
      </c>
      <c r="BP16" s="16">
        <f>IF($D16="是",AJ16-AK16,0)</f>
        <v>0</v>
      </c>
      <c r="BQ16" s="16">
        <f>IF($D16="是",AL16-AM16,0)</f>
        <v>131.44</v>
      </c>
      <c r="BR16" s="16">
        <f>IF($D16="是",AN16-AO16,0)</f>
        <v>0</v>
      </c>
      <c r="BS16" s="16">
        <f>IF($D16="是",AP16-AQ16,0)</f>
        <v>0</v>
      </c>
      <c r="BT16" s="22">
        <f>IF($D16="是",AR16-AS16,0)</f>
        <v>0</v>
      </c>
    </row>
    <row r="17" spans="1:72" s="2166" customFormat="1" ht="12.75">
      <c r="A17" s="1274"/>
      <c r="B17" s="1274"/>
      <c r="C17" s="1274">
        <v>5</v>
      </c>
      <c r="D17" s="2212" t="s">
        <v>3148</v>
      </c>
      <c r="E17" s="16">
        <f>IF($C$3="是",ROUND($A$3*G17/$B$3,2),ROUND($A$3*(G17-AT17)/$B$3,2))</f>
        <v>770.91</v>
      </c>
      <c r="F17" s="32"/>
      <c r="G17" s="33">
        <f>H17+AC17+AT17</f>
        <v>551.48</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551.48</v>
      </c>
      <c r="AD17" s="2214"/>
      <c r="AE17" s="2214"/>
      <c r="AF17" s="2214"/>
      <c r="AG17" s="2214"/>
      <c r="AH17" s="2214"/>
      <c r="AI17" s="2214"/>
      <c r="AJ17" s="2214"/>
      <c r="AK17" s="2214"/>
      <c r="AL17" s="2214">
        <v>551.48</v>
      </c>
      <c r="AM17" s="2214"/>
      <c r="AN17" s="2214"/>
      <c r="AO17" s="2214"/>
      <c r="AP17" s="2214"/>
      <c r="AQ17" s="2214"/>
      <c r="AR17" s="2214"/>
      <c r="AS17" s="2214"/>
      <c r="AT17" s="2215"/>
      <c r="AU17" s="2216"/>
      <c r="AV17" s="11">
        <f t="shared" si="6"/>
        <v>0</v>
      </c>
      <c r="AW17" s="11">
        <f t="shared" si="6"/>
        <v>0</v>
      </c>
      <c r="AX17" s="11">
        <f t="shared" si="6"/>
        <v>5</v>
      </c>
      <c r="AY17" s="1808">
        <f>ROUND($AY$6*AZ17/$AZ$5,2)</f>
        <v>770.91</v>
      </c>
      <c r="AZ17" s="16">
        <f>BA17+BL17</f>
        <v>551.48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551.48</v>
      </c>
      <c r="BM17" s="16">
        <f>IF($D17="是",AD17-AE17,0)</f>
        <v>0</v>
      </c>
      <c r="BN17" s="16">
        <f>IF($D17="是",AF17-AG17,0)</f>
        <v>0</v>
      </c>
      <c r="BO17" s="16">
        <f>IF($D17="是",AH17-AI17,0)</f>
        <v>0</v>
      </c>
      <c r="BP17" s="16">
        <f>IF($D17="是",AJ17-AK17,0)</f>
        <v>0</v>
      </c>
      <c r="BQ17" s="16">
        <f>IF($D17="是",AL17-AM17,0)</f>
        <v>551.48</v>
      </c>
      <c r="BR17" s="16">
        <f>IF($D17="是",AN17-AO17,0)</f>
        <v>0</v>
      </c>
      <c r="BS17" s="16">
        <f>IF($D17="是",AP17-AQ17,0)</f>
        <v>0</v>
      </c>
      <c r="BT17" s="22">
        <f>IF($D17="是",AR17-AS17,0)</f>
        <v>0</v>
      </c>
    </row>
    <row r="18" spans="1:72">
      <c r="A18" s="9"/>
      <c r="B18" s="34"/>
      <c r="C18" s="1274">
        <v>6</v>
      </c>
      <c r="D18" s="2212" t="s">
        <v>3148</v>
      </c>
      <c r="E18" s="35">
        <f t="shared" ref="E18:E112" si="7">IF($C$3="是",ROUND($A$3*G18/$B$3,2),ROUND($A$3*(G18-AT18)/$B$3,2))</f>
        <v>168.61</v>
      </c>
      <c r="F18" s="36"/>
      <c r="G18" s="37">
        <f t="shared" ref="G18:G109" si="8">H18+AC18+AT18</f>
        <v>120.62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120.62</v>
      </c>
      <c r="AD18" s="40"/>
      <c r="AE18" s="40"/>
      <c r="AF18" s="40"/>
      <c r="AG18" s="40"/>
      <c r="AH18" s="40"/>
      <c r="AI18" s="40"/>
      <c r="AJ18" s="40"/>
      <c r="AK18" s="40"/>
      <c r="AL18" s="40">
        <v>120.62</v>
      </c>
      <c r="AM18" s="40"/>
      <c r="AN18" s="40"/>
      <c r="AO18" s="40"/>
      <c r="AP18" s="40"/>
      <c r="AQ18" s="40"/>
      <c r="AR18" s="40"/>
      <c r="AS18" s="40"/>
      <c r="AT18" s="41"/>
      <c r="AU18" s="2218"/>
      <c r="AV18" s="1797">
        <f t="shared" ref="AV18:AV112" si="11">A18</f>
        <v>0</v>
      </c>
      <c r="AW18" s="1797">
        <f t="shared" ref="AW18:AW112" si="12">B18</f>
        <v>0</v>
      </c>
      <c r="AX18" s="1797">
        <f t="shared" ref="AX18:AX112" si="13">C18</f>
        <v>6</v>
      </c>
      <c r="AY18" s="42">
        <f t="shared" ref="AY18:AY109" si="14">ROUND($AY$6*AZ18/$AZ$5,2)</f>
        <v>168.61</v>
      </c>
      <c r="AZ18" s="35">
        <f t="shared" ref="AZ18:AZ109" si="15">BA18+BL18</f>
        <v>120.62</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120.62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120.62</v>
      </c>
      <c r="BR18" s="35">
        <f t="shared" ref="BR18:BR109" si="33">IF($D18="是",AN18-AO18,0)</f>
        <v>0</v>
      </c>
      <c r="BS18" s="35">
        <f t="shared" ref="BS18:BS109" si="34">IF($D18="是",AP18-AQ18,0)</f>
        <v>0</v>
      </c>
      <c r="BT18" s="43">
        <f t="shared" ref="BT18:BT109" si="35">IF($D18="是",AR18-AS18,0)</f>
        <v>0</v>
      </c>
    </row>
    <row r="19" spans="1:72">
      <c r="A19" s="9"/>
      <c r="B19" s="34"/>
      <c r="C19" s="1274">
        <v>7</v>
      </c>
      <c r="D19" s="2212" t="s">
        <v>3148</v>
      </c>
      <c r="E19" s="35">
        <f t="shared" si="7"/>
        <v>317.31</v>
      </c>
      <c r="F19" s="36"/>
      <c r="G19" s="37">
        <f t="shared" si="8"/>
        <v>226.99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226.99</v>
      </c>
      <c r="AD19" s="40"/>
      <c r="AE19" s="40"/>
      <c r="AF19" s="40"/>
      <c r="AG19" s="40"/>
      <c r="AH19" s="40"/>
      <c r="AI19" s="40"/>
      <c r="AJ19" s="40"/>
      <c r="AK19" s="40"/>
      <c r="AL19" s="40">
        <v>226.99</v>
      </c>
      <c r="AM19" s="40"/>
      <c r="AN19" s="40"/>
      <c r="AO19" s="40"/>
      <c r="AP19" s="40"/>
      <c r="AQ19" s="40"/>
      <c r="AR19" s="40"/>
      <c r="AS19" s="40"/>
      <c r="AT19" s="41"/>
      <c r="AU19" s="2218"/>
      <c r="AV19" s="1797">
        <f t="shared" si="11"/>
        <v>0</v>
      </c>
      <c r="AW19" s="1797">
        <f t="shared" si="12"/>
        <v>0</v>
      </c>
      <c r="AX19" s="1797">
        <f t="shared" si="13"/>
        <v>7</v>
      </c>
      <c r="AY19" s="42">
        <f t="shared" si="14"/>
        <v>317.31</v>
      </c>
      <c r="AZ19" s="35">
        <f t="shared" si="15"/>
        <v>226.99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226.99</v>
      </c>
      <c r="BM19" s="35">
        <f t="shared" si="28"/>
        <v>0</v>
      </c>
      <c r="BN19" s="35">
        <f t="shared" si="29"/>
        <v>0</v>
      </c>
      <c r="BO19" s="35">
        <f t="shared" si="30"/>
        <v>0</v>
      </c>
      <c r="BP19" s="35">
        <f t="shared" si="31"/>
        <v>0</v>
      </c>
      <c r="BQ19" s="35">
        <f t="shared" si="32"/>
        <v>226.99</v>
      </c>
      <c r="BR19" s="35">
        <f t="shared" si="33"/>
        <v>0</v>
      </c>
      <c r="BS19" s="35">
        <f t="shared" si="34"/>
        <v>0</v>
      </c>
      <c r="BT19" s="43">
        <f t="shared" si="35"/>
        <v>0</v>
      </c>
    </row>
    <row r="20" spans="1:72">
      <c r="A20" s="9"/>
      <c r="B20" s="34"/>
      <c r="C20" s="1274">
        <v>8</v>
      </c>
      <c r="D20" s="2212" t="s">
        <v>3148</v>
      </c>
      <c r="E20" s="35">
        <f t="shared" si="7"/>
        <v>346.96</v>
      </c>
      <c r="F20" s="36"/>
      <c r="G20" s="37">
        <f t="shared" si="8"/>
        <v>248.2</v>
      </c>
      <c r="H20" s="38">
        <f t="shared" si="9"/>
        <v>248.2</v>
      </c>
      <c r="I20" s="39"/>
      <c r="J20" s="39"/>
      <c r="K20" s="39"/>
      <c r="L20" s="39"/>
      <c r="M20" s="39">
        <v>248.2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8</v>
      </c>
      <c r="AY20" s="42">
        <f t="shared" si="14"/>
        <v>346.96</v>
      </c>
      <c r="AZ20" s="35">
        <f t="shared" si="15"/>
        <v>248.2</v>
      </c>
      <c r="BA20" s="35">
        <f t="shared" si="16"/>
        <v>248.2</v>
      </c>
      <c r="BB20" s="35">
        <f t="shared" si="17"/>
        <v>0</v>
      </c>
      <c r="BC20" s="35">
        <f t="shared" si="18"/>
        <v>0</v>
      </c>
      <c r="BD20" s="35">
        <f t="shared" si="19"/>
        <v>248.2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4">
        <v>9</v>
      </c>
      <c r="D21" s="2212" t="s">
        <v>3148</v>
      </c>
      <c r="E21" s="35">
        <f t="shared" si="7"/>
        <v>3389.93</v>
      </c>
      <c r="F21" s="36"/>
      <c r="G21" s="37">
        <f t="shared" si="8"/>
        <v>2425.02</v>
      </c>
      <c r="H21" s="38">
        <f t="shared" si="9"/>
        <v>2425.02</v>
      </c>
      <c r="I21" s="39"/>
      <c r="J21" s="39"/>
      <c r="K21" s="39"/>
      <c r="L21" s="39"/>
      <c r="M21" s="39">
        <v>2425.02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9</v>
      </c>
      <c r="AY21" s="42">
        <f t="shared" si="14"/>
        <v>3389.93</v>
      </c>
      <c r="AZ21" s="35">
        <f t="shared" si="15"/>
        <v>2425.02</v>
      </c>
      <c r="BA21" s="35">
        <f t="shared" si="16"/>
        <v>2425.02</v>
      </c>
      <c r="BB21" s="35">
        <f t="shared" si="17"/>
        <v>0</v>
      </c>
      <c r="BC21" s="35">
        <f t="shared" si="18"/>
        <v>0</v>
      </c>
      <c r="BD21" s="35">
        <f t="shared" si="19"/>
        <v>2425.02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4">
        <v>10</v>
      </c>
      <c r="D22" s="2212" t="s">
        <v>3148</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4">
        <v>11</v>
      </c>
      <c r="D23" s="2212" t="s">
        <v>3148</v>
      </c>
      <c r="E23" s="35">
        <f t="shared" si="7"/>
        <v>117.7</v>
      </c>
      <c r="F23" s="36"/>
      <c r="G23" s="37">
        <f t="shared" si="8"/>
        <v>84.2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84.2</v>
      </c>
      <c r="AD23" s="40"/>
      <c r="AE23" s="40"/>
      <c r="AF23" s="40"/>
      <c r="AG23" s="40"/>
      <c r="AH23" s="40"/>
      <c r="AI23" s="40"/>
      <c r="AJ23" s="40"/>
      <c r="AK23" s="40"/>
      <c r="AL23" s="40">
        <v>84.2</v>
      </c>
      <c r="AM23" s="40"/>
      <c r="AN23" s="40"/>
      <c r="AO23" s="40"/>
      <c r="AP23" s="40"/>
      <c r="AQ23" s="40"/>
      <c r="AR23" s="40"/>
      <c r="AS23" s="40"/>
      <c r="AT23" s="41"/>
      <c r="AU23" s="2218"/>
      <c r="AV23" s="1797">
        <f t="shared" si="11"/>
        <v>0</v>
      </c>
      <c r="AW23" s="1797">
        <f t="shared" si="12"/>
        <v>0</v>
      </c>
      <c r="AX23" s="1797">
        <f t="shared" si="13"/>
        <v>11</v>
      </c>
      <c r="AY23" s="42">
        <f t="shared" si="14"/>
        <v>117.7</v>
      </c>
      <c r="AZ23" s="35">
        <f t="shared" si="15"/>
        <v>84.2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84.2</v>
      </c>
      <c r="BM23" s="35">
        <f t="shared" si="28"/>
        <v>0</v>
      </c>
      <c r="BN23" s="35">
        <f t="shared" si="29"/>
        <v>0</v>
      </c>
      <c r="BO23" s="35">
        <f t="shared" si="30"/>
        <v>0</v>
      </c>
      <c r="BP23" s="35">
        <f t="shared" si="31"/>
        <v>0</v>
      </c>
      <c r="BQ23" s="35">
        <f t="shared" si="32"/>
        <v>84.2</v>
      </c>
      <c r="BR23" s="35">
        <f t="shared" si="33"/>
        <v>0</v>
      </c>
      <c r="BS23" s="35">
        <f t="shared" si="34"/>
        <v>0</v>
      </c>
      <c r="BT23" s="43">
        <f t="shared" si="35"/>
        <v>0</v>
      </c>
    </row>
    <row r="24" spans="1:72">
      <c r="A24" s="9"/>
      <c r="B24" s="34"/>
      <c r="C24" s="1274">
        <v>12</v>
      </c>
      <c r="D24" s="2212" t="s">
        <v>3148</v>
      </c>
      <c r="E24" s="35">
        <f t="shared" si="7"/>
        <v>18534.740000000002</v>
      </c>
      <c r="F24" s="36"/>
      <c r="G24" s="37">
        <f t="shared" si="8"/>
        <v>13259</v>
      </c>
      <c r="H24" s="38">
        <f t="shared" si="9"/>
        <v>13259</v>
      </c>
      <c r="I24" s="39">
        <v>13259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12</v>
      </c>
      <c r="AY24" s="42">
        <f t="shared" si="14"/>
        <v>18534.740000000002</v>
      </c>
      <c r="AZ24" s="35">
        <f t="shared" si="15"/>
        <v>13259</v>
      </c>
      <c r="BA24" s="35">
        <f t="shared" si="16"/>
        <v>13259</v>
      </c>
      <c r="BB24" s="35">
        <f t="shared" si="17"/>
        <v>13259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52</v>
      </c>
      <c r="E1" s="3038" t="s">
        <v>53</v>
      </c>
      <c r="F1" s="3038"/>
      <c r="G1" s="3038"/>
      <c r="H1" s="3038"/>
      <c r="I1" s="3038"/>
      <c r="J1" s="3038"/>
      <c r="K1" s="3038"/>
      <c r="L1" s="3038"/>
      <c r="M1" s="3038"/>
    </row>
    <row r="2" spans="1:13" ht="27" customHeight="1">
      <c r="A2" s="3037"/>
      <c r="B2" s="3037"/>
      <c r="C2" s="3037"/>
      <c r="D2" s="3038"/>
      <c r="E2" s="3038" t="s">
        <v>36</v>
      </c>
      <c r="F2" s="3038" t="s">
        <v>37</v>
      </c>
      <c r="G2" s="3038"/>
      <c r="H2" s="3038"/>
      <c r="I2" s="3038"/>
      <c r="J2" s="3038" t="s">
        <v>38</v>
      </c>
      <c r="K2" s="3038"/>
      <c r="L2" s="3038"/>
      <c r="M2" s="3038"/>
    </row>
    <row r="3" spans="1:13" ht="28.5">
      <c r="A3" s="3037"/>
      <c r="B3" s="3037"/>
      <c r="C3" s="3037"/>
      <c r="D3" s="3038"/>
      <c r="E3" s="3038"/>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38" t="s">
        <v>54</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1906</v>
      </c>
      <c r="B1" s="1394"/>
      <c r="C1" s="1394"/>
      <c r="D1" s="1394"/>
      <c r="E1" s="1394"/>
      <c r="F1" s="1394"/>
      <c r="G1" s="1394"/>
      <c r="H1" s="1394"/>
      <c r="I1" s="1394"/>
      <c r="J1" s="1394"/>
      <c r="K1" s="1394"/>
      <c r="L1" s="1394"/>
      <c r="M1" s="1394"/>
      <c r="N1" s="1394"/>
      <c r="O1" s="1394"/>
      <c r="P1" s="1394"/>
    </row>
    <row r="2" spans="1:16" ht="15">
      <c r="A2" s="3048" t="s">
        <v>1907</v>
      </c>
      <c r="B2" s="3048"/>
      <c r="C2" s="3048"/>
      <c r="D2" s="970" t="s">
        <v>1883</v>
      </c>
      <c r="E2" s="2226" t="s">
        <v>1884</v>
      </c>
      <c r="F2" s="1394"/>
      <c r="G2" s="2227"/>
      <c r="H2" s="2228"/>
      <c r="I2" s="2229" t="s">
        <v>1908</v>
      </c>
      <c r="J2" s="1394"/>
      <c r="K2" s="1394"/>
      <c r="L2" s="1394"/>
      <c r="M2" s="1394"/>
      <c r="N2" s="1429"/>
      <c r="O2" s="1394"/>
      <c r="P2" s="1394"/>
    </row>
    <row r="3" spans="1:16" ht="15.75" thickBot="1">
      <c r="A3" s="3049" t="s">
        <v>1881</v>
      </c>
      <c r="B3" s="3049"/>
      <c r="C3" s="3049"/>
      <c r="D3" s="46">
        <f>'数据-基础表'!AY6</f>
        <v>62946.5</v>
      </c>
      <c r="E3" s="46">
        <f>'数据-基础表'!AZ5</f>
        <v>45029.380000000005</v>
      </c>
      <c r="F3" s="1394"/>
      <c r="G3" s="1401"/>
      <c r="H3" s="1249" t="s">
        <v>1882</v>
      </c>
      <c r="I3" s="55">
        <f>ROUND('数据-基础表'!B3/'数据-基础表'!A3,2)</f>
        <v>0.72</v>
      </c>
      <c r="J3" s="1394"/>
      <c r="K3" s="1394"/>
      <c r="L3" s="1394"/>
      <c r="M3" s="1394"/>
      <c r="N3" s="1429"/>
      <c r="O3" s="1394"/>
      <c r="P3" s="1394"/>
    </row>
    <row r="4" spans="1:16" ht="15">
      <c r="A4" s="3050"/>
      <c r="B4" s="3051"/>
      <c r="C4" s="3052"/>
      <c r="D4" s="2230" t="s">
        <v>1883</v>
      </c>
      <c r="E4" s="2231" t="s">
        <v>1884</v>
      </c>
      <c r="F4" s="1394"/>
      <c r="G4" s="2232" t="s">
        <v>1909</v>
      </c>
      <c r="H4" s="1249" t="s">
        <v>1889</v>
      </c>
      <c r="I4" s="55">
        <f>ROUND(SUMIF('数据-基础表'!I9:AS9,"地上",'数据-基础表'!I5:AS5)/'数据-基础表'!A3,2)</f>
        <v>0.72</v>
      </c>
      <c r="J4" s="1394"/>
      <c r="K4" s="1394"/>
      <c r="L4" s="1394"/>
      <c r="M4" s="1394"/>
      <c r="N4" s="1429"/>
      <c r="O4" s="1394"/>
      <c r="P4" s="1394"/>
    </row>
    <row r="5" spans="1:16">
      <c r="A5" s="47" t="s">
        <v>1885</v>
      </c>
      <c r="B5" s="3053" t="s">
        <v>1886</v>
      </c>
      <c r="C5" s="3053"/>
      <c r="D5" s="48">
        <f>ROUND($D$3*E5/$E$3,2)</f>
        <v>0</v>
      </c>
      <c r="E5" s="49">
        <f>SUMIF('数据-基础表'!$11:$11,"住宅",'数据-基础表'!$5:$5)</f>
        <v>0</v>
      </c>
      <c r="F5" s="1394"/>
      <c r="G5" s="1401"/>
      <c r="H5" s="1249" t="s">
        <v>1882</v>
      </c>
      <c r="I5" s="55">
        <f>ROUND(E31/D31,2)</f>
        <v>0.72</v>
      </c>
      <c r="J5" s="1394"/>
      <c r="K5" s="1394"/>
      <c r="L5" s="1394"/>
      <c r="M5" s="1394"/>
      <c r="N5" s="1394"/>
      <c r="O5" s="1394"/>
      <c r="P5" s="1394"/>
    </row>
    <row r="6" spans="1:16" ht="15" thickBot="1">
      <c r="A6" s="2233"/>
      <c r="B6" s="3053" t="s">
        <v>1887</v>
      </c>
      <c r="C6" s="3053"/>
      <c r="D6" s="48">
        <f>ROUND($D$3*E6/$E$3,2)</f>
        <v>62946.5</v>
      </c>
      <c r="E6" s="49">
        <f>E3-E5</f>
        <v>45029.380000000005</v>
      </c>
      <c r="F6" s="1394"/>
      <c r="G6" s="2234" t="s">
        <v>1888</v>
      </c>
      <c r="H6" s="1401" t="s">
        <v>1889</v>
      </c>
      <c r="I6" s="942">
        <f>ROUND(F31/D31,2)</f>
        <v>0.72</v>
      </c>
      <c r="J6" s="1394"/>
      <c r="K6" s="1394"/>
      <c r="L6" s="1394"/>
      <c r="M6" s="1394"/>
      <c r="N6" s="1394"/>
      <c r="O6" s="1394"/>
      <c r="P6" s="1394"/>
    </row>
    <row r="7" spans="1:16" ht="15">
      <c r="A7" s="3045"/>
      <c r="B7" s="3046"/>
      <c r="C7" s="3047"/>
      <c r="D7" s="2230" t="s">
        <v>1883</v>
      </c>
      <c r="E7" s="2235" t="s">
        <v>1890</v>
      </c>
      <c r="F7" s="1394"/>
      <c r="G7" s="2227" t="s">
        <v>1891</v>
      </c>
      <c r="H7" s="64"/>
      <c r="I7" s="420"/>
      <c r="J7" s="1394"/>
      <c r="K7" s="1394"/>
      <c r="L7" s="1394"/>
      <c r="M7" s="1394"/>
      <c r="N7" s="1394"/>
      <c r="O7" s="1394"/>
      <c r="P7" s="1394"/>
    </row>
    <row r="8" spans="1:16">
      <c r="A8" s="47" t="s">
        <v>1892</v>
      </c>
      <c r="B8" s="50" t="s">
        <v>1893</v>
      </c>
      <c r="C8" s="48" t="s">
        <v>1894</v>
      </c>
      <c r="D8" s="48">
        <f t="shared" ref="D8:D15" si="0">ROUND($D$3*E8/$E$3,2)</f>
        <v>61355.89</v>
      </c>
      <c r="E8" s="51">
        <f>SUMIF('数据-基础表'!BB10:BK10,"地上",'数据-基础表'!BB5:BK5)</f>
        <v>43891.519999999997</v>
      </c>
      <c r="F8" s="1394"/>
      <c r="G8" s="2236"/>
      <c r="H8" s="2236"/>
      <c r="I8" s="1394"/>
      <c r="J8" s="1394"/>
      <c r="K8" s="1394"/>
      <c r="L8" s="1394"/>
      <c r="M8" s="1394"/>
      <c r="N8" s="1394"/>
      <c r="O8" s="1394"/>
      <c r="P8" s="1394"/>
    </row>
    <row r="9" spans="1:16">
      <c r="A9" s="2237"/>
      <c r="B9" s="2238"/>
      <c r="C9" s="48" t="s">
        <v>1895</v>
      </c>
      <c r="D9" s="48">
        <f t="shared" si="0"/>
        <v>0</v>
      </c>
      <c r="E9" s="52">
        <v>0</v>
      </c>
      <c r="F9" s="1394"/>
      <c r="G9" s="2236"/>
      <c r="H9" s="2236"/>
      <c r="I9" s="1394"/>
      <c r="J9" s="1394"/>
      <c r="K9" s="1394"/>
      <c r="L9" s="1394"/>
      <c r="M9" s="1394"/>
      <c r="N9" s="1394"/>
      <c r="O9" s="1394"/>
      <c r="P9" s="1394"/>
    </row>
    <row r="10" spans="1:16">
      <c r="A10" s="2237"/>
      <c r="B10" s="2238"/>
      <c r="C10" s="48" t="s">
        <v>1904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1896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1897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1898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1910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1905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1899</v>
      </c>
      <c r="D16" s="50">
        <f>SUM(D8:D15)</f>
        <v>61355.89</v>
      </c>
      <c r="E16" s="53">
        <f>SUM(E8:E15)</f>
        <v>43891.519999999997</v>
      </c>
      <c r="F16" s="1394"/>
      <c r="G16" s="2236"/>
      <c r="H16" s="2239" t="s">
        <v>1911</v>
      </c>
      <c r="I16" s="2240"/>
      <c r="J16" s="1394"/>
      <c r="K16" s="3042" t="s">
        <v>1911</v>
      </c>
      <c r="L16" s="3043"/>
      <c r="M16" s="3043"/>
      <c r="N16" s="3043"/>
      <c r="O16" s="3043"/>
      <c r="P16" s="3044"/>
    </row>
    <row r="17" spans="1:19" ht="15">
      <c r="A17" s="2241" t="s">
        <v>1912</v>
      </c>
      <c r="B17" s="2242" t="s">
        <v>1913</v>
      </c>
      <c r="C17" s="2243" t="s">
        <v>1914</v>
      </c>
      <c r="D17" s="2244" t="s">
        <v>1902</v>
      </c>
      <c r="E17" s="2245" t="s">
        <v>1903</v>
      </c>
      <c r="F17" s="2246"/>
      <c r="G17" s="2247"/>
      <c r="H17" s="2248" t="s">
        <v>1915</v>
      </c>
      <c r="I17" s="2249" t="s">
        <v>1900</v>
      </c>
      <c r="J17" s="1394"/>
      <c r="K17" s="3039" t="s">
        <v>1916</v>
      </c>
      <c r="L17" s="3040"/>
      <c r="M17" s="3041"/>
      <c r="N17" s="3039" t="s">
        <v>1917</v>
      </c>
      <c r="O17" s="3040"/>
      <c r="P17" s="3041"/>
      <c r="R17" s="2227" t="s">
        <v>1918</v>
      </c>
      <c r="S17" s="64"/>
    </row>
    <row r="18" spans="1:19" ht="15">
      <c r="A18" s="2237"/>
      <c r="B18" s="2250"/>
      <c r="C18" s="2251"/>
      <c r="D18" s="2252"/>
      <c r="E18" s="2253" t="s">
        <v>1919</v>
      </c>
      <c r="F18" s="2254" t="s">
        <v>1920</v>
      </c>
      <c r="G18" s="2255" t="s">
        <v>1921</v>
      </c>
      <c r="H18" s="1264" t="s">
        <v>1922</v>
      </c>
      <c r="I18" s="2256" t="s">
        <v>1923</v>
      </c>
      <c r="J18" s="1394"/>
      <c r="K18" s="1264" t="s">
        <v>1924</v>
      </c>
      <c r="L18" s="2257" t="s">
        <v>1925</v>
      </c>
      <c r="M18" s="1048" t="s">
        <v>1926</v>
      </c>
      <c r="N18" s="1264" t="s">
        <v>1924</v>
      </c>
      <c r="O18" s="2257" t="s">
        <v>1925</v>
      </c>
      <c r="P18" s="1048" t="s">
        <v>1926</v>
      </c>
      <c r="R18" s="1249" t="s">
        <v>1927</v>
      </c>
      <c r="S18" s="1249" t="s">
        <v>1928</v>
      </c>
    </row>
    <row r="19" spans="1:19">
      <c r="A19" s="2258"/>
      <c r="B19" s="50" t="s">
        <v>1901</v>
      </c>
      <c r="C19" s="2948" t="s">
        <v>3155</v>
      </c>
      <c r="D19" s="48">
        <f>ROUND($D$3*E19/$E$3,2)</f>
        <v>61355.89</v>
      </c>
      <c r="E19" s="56">
        <f t="shared" ref="E19:E26" si="1">SUM(F19:G19)</f>
        <v>43891.520000000004</v>
      </c>
      <c r="F19" s="57">
        <f>'数据-基础表'!K14+'数据-基础表'!I15+'数据-基础表'!M20+'数据-基础表'!M21+'数据-基础表'!I24</f>
        <v>43891.520000000004</v>
      </c>
      <c r="G19" s="58"/>
      <c r="H19" s="723">
        <f>ROUND($D$3*I19/$E$3,2)</f>
        <v>1590.61</v>
      </c>
      <c r="I19" s="51">
        <f t="shared" ref="I19:I26" si="2">IF($I$17="自定义",P19,M19)</f>
        <v>1137.8599999999999</v>
      </c>
      <c r="J19" s="1394"/>
      <c r="K19" s="1393">
        <f t="shared" ref="K19:K26" si="3">ROUND(E$28*E19/E$27,2)</f>
        <v>1137.8599999999999</v>
      </c>
      <c r="L19" s="1249">
        <f t="shared" ref="L19:L26" si="4">ROUND(IF(COUNTIF(C19,"*住宅*")&gt;0,E$29*E19/E$32,0),2)</f>
        <v>0</v>
      </c>
      <c r="M19" s="1405">
        <f>K19+L19</f>
        <v>1137.8599999999999</v>
      </c>
      <c r="N19" s="2260"/>
      <c r="O19" s="2261"/>
      <c r="P19" s="1405">
        <f>N19+O19</f>
        <v>0</v>
      </c>
      <c r="R19" s="1249">
        <f t="shared" ref="R19:S26" si="5">D19+H19</f>
        <v>62946.5</v>
      </c>
      <c r="S19" s="1250">
        <f t="shared" si="5"/>
        <v>45029.380000000005</v>
      </c>
    </row>
    <row r="20" spans="1:19">
      <c r="A20" s="2262"/>
      <c r="B20" s="50" t="s">
        <v>1929</v>
      </c>
      <c r="C20" s="2259"/>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1929</v>
      </c>
      <c r="C21" s="2259"/>
      <c r="D21" s="48">
        <f t="shared" si="6"/>
        <v>0</v>
      </c>
      <c r="E21" s="56">
        <f t="shared" si="1"/>
        <v>0</v>
      </c>
      <c r="F21" s="57"/>
      <c r="G21" s="58"/>
      <c r="H21" s="723">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1929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1929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1929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1929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1929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1930</v>
      </c>
      <c r="D27" s="1395">
        <f>SUM(D19:D26)</f>
        <v>61355.89</v>
      </c>
      <c r="E27" s="1396">
        <f>IF(SUM(E19:E26)='数据-基础表'!BA5,SUM(E19:E26),IF(F27="地上面积有误","面积有误","地下面积有误"))</f>
        <v>43891.520000000004</v>
      </c>
      <c r="F27" s="1395">
        <f>IF(SUM(F19:F26)=E8,SUM(F19:F26),"地上面积有误")</f>
        <v>43891.520000000004</v>
      </c>
      <c r="G27" s="1397">
        <f>SUM(G19:G26)</f>
        <v>0</v>
      </c>
      <c r="H27" s="1398">
        <f>SUM(H19:H26)</f>
        <v>1590.61</v>
      </c>
      <c r="I27" s="1399">
        <f>SUM(I19:I26)</f>
        <v>1137.8599999999999</v>
      </c>
      <c r="J27" s="1394"/>
      <c r="K27" s="1402">
        <f>SUM(K19:K26)</f>
        <v>1137.8599999999999</v>
      </c>
      <c r="L27" s="1403">
        <f>SUM(L19:L26)</f>
        <v>0</v>
      </c>
      <c r="M27" s="1406">
        <f>SUM(M19:M26)</f>
        <v>1137.8599999999999</v>
      </c>
      <c r="N27" s="1402">
        <f t="shared" ref="N27:O27" si="10">SUM(N19:N26)</f>
        <v>0</v>
      </c>
      <c r="O27" s="1403">
        <f t="shared" si="10"/>
        <v>0</v>
      </c>
      <c r="P27" s="1404">
        <f>SUM(P19:P26)</f>
        <v>0</v>
      </c>
      <c r="R27" s="1251">
        <f>IF(SUM(R19:R26)=$D$3,SUM(R19:R26),SUM(R19:R26)&amp;"误差"&amp;ROUND(SUM(R19:R26)-$D$3,2))</f>
        <v>62946.5</v>
      </c>
      <c r="S27" s="1249">
        <f>IF(SUM(S19:S26)=$E$3,SUM(S19:S26),SUM(S19:S26)&amp;"误差"&amp;ROUND(SUM(S19:S26)-E3,2))</f>
        <v>45029.380000000005</v>
      </c>
    </row>
    <row r="28" spans="1:19">
      <c r="A28" s="2262"/>
      <c r="B28" s="50" t="s">
        <v>1931</v>
      </c>
      <c r="C28" s="1261" t="s">
        <v>1932</v>
      </c>
      <c r="D28" s="48">
        <f>ROUND($D$3*E28/$E$3,2)</f>
        <v>1590.61</v>
      </c>
      <c r="E28" s="56">
        <f>SUM(F28:G28)</f>
        <v>1137.8599999999999</v>
      </c>
      <c r="F28" s="64">
        <f>'数据-基础表'!BQ5+'数据-基础表'!BS5</f>
        <v>1137.8599999999999</v>
      </c>
      <c r="G28" s="65">
        <f>'数据-基础表'!BR5+'数据-基础表'!BT5</f>
        <v>0</v>
      </c>
      <c r="H28" s="1394"/>
      <c r="I28" s="1394"/>
      <c r="J28" s="1394"/>
      <c r="K28" s="1394"/>
      <c r="L28" s="1394"/>
      <c r="M28" s="1394"/>
      <c r="N28" s="1394"/>
      <c r="O28" s="1394"/>
      <c r="P28" s="1394"/>
    </row>
    <row r="29" spans="1:19">
      <c r="A29" s="2262"/>
      <c r="B29" s="50" t="s">
        <v>1931</v>
      </c>
      <c r="C29" s="2266" t="s">
        <v>1933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1930</v>
      </c>
      <c r="D30" s="1395">
        <f>SUM(D28:D29)</f>
        <v>1590.61</v>
      </c>
      <c r="E30" s="1395">
        <f>SUM(E28:E29)</f>
        <v>1137.8599999999999</v>
      </c>
      <c r="F30" s="1395">
        <f>SUM(F28:F29)</f>
        <v>1137.8599999999999</v>
      </c>
      <c r="G30" s="1397">
        <f>SUM(G28:G29)</f>
        <v>0</v>
      </c>
      <c r="H30" s="1394"/>
      <c r="I30" s="1394"/>
      <c r="J30" s="1394"/>
      <c r="K30" s="1394"/>
      <c r="L30" s="1394"/>
      <c r="M30" s="1394"/>
      <c r="N30" s="1394"/>
      <c r="O30" s="1394"/>
      <c r="P30" s="1394"/>
    </row>
    <row r="31" spans="1:19" ht="15.75" thickBot="1">
      <c r="A31" s="2268"/>
      <c r="B31" s="2269"/>
      <c r="C31" s="1010" t="s">
        <v>1934</v>
      </c>
      <c r="D31" s="729">
        <f>D27+D30</f>
        <v>62946.5</v>
      </c>
      <c r="E31" s="729">
        <f>E27+E30</f>
        <v>45029.380000000005</v>
      </c>
      <c r="F31" s="730">
        <f>F27+F30</f>
        <v>45029.380000000005</v>
      </c>
      <c r="G31" s="731">
        <f>G27+G30</f>
        <v>0</v>
      </c>
      <c r="H31" s="1394"/>
      <c r="I31" s="1394"/>
      <c r="J31" s="1394"/>
      <c r="K31" s="1394"/>
      <c r="L31" s="1394"/>
      <c r="M31" s="1394"/>
      <c r="N31" s="1394"/>
      <c r="O31" s="1394"/>
      <c r="P31" s="1394"/>
    </row>
    <row r="32" spans="1:19">
      <c r="A32" s="2232"/>
      <c r="B32" s="2232" t="s">
        <v>1935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1936</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1937</v>
      </c>
      <c r="B2" s="1268">
        <f>项目基本情况!D3</f>
        <v>43245</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1938</v>
      </c>
      <c r="B4" s="2280"/>
      <c r="C4" s="2281"/>
      <c r="D4" s="2282"/>
      <c r="E4" s="2281" t="s">
        <v>1939</v>
      </c>
      <c r="F4" s="2281"/>
      <c r="G4" s="2281"/>
      <c r="H4" s="2281"/>
      <c r="I4" s="2281"/>
      <c r="J4" s="2283"/>
      <c r="K4" s="2284"/>
      <c r="L4" s="2285"/>
      <c r="M4" s="2281"/>
      <c r="N4" s="2281" t="s">
        <v>1940</v>
      </c>
      <c r="O4" s="2281"/>
      <c r="P4" s="2281"/>
      <c r="Q4" s="2281"/>
      <c r="R4" s="2281"/>
      <c r="S4" s="2283"/>
      <c r="T4" s="2286" t="str">
        <f>'数据-汇总表'!I17</f>
        <v>按面积比例</v>
      </c>
      <c r="U4" s="2280" t="s">
        <v>1941</v>
      </c>
      <c r="V4" s="2281"/>
      <c r="W4" s="2281"/>
      <c r="X4" s="2281"/>
      <c r="Y4" s="2283"/>
      <c r="Z4" s="2243" t="s">
        <v>1942</v>
      </c>
      <c r="AA4" s="2243"/>
      <c r="AB4" s="2243"/>
      <c r="AC4" s="2243"/>
      <c r="AD4" s="2243"/>
      <c r="AE4" s="2241" t="s">
        <v>1943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1944</v>
      </c>
      <c r="B5" s="2289" t="s">
        <v>1945</v>
      </c>
      <c r="C5" s="2290" t="s">
        <v>1946</v>
      </c>
      <c r="D5" s="2291" t="s">
        <v>1947</v>
      </c>
      <c r="E5" s="1270" t="s">
        <v>1948</v>
      </c>
      <c r="F5" s="2292" t="s">
        <v>1949</v>
      </c>
      <c r="G5" s="1270" t="s">
        <v>1950</v>
      </c>
      <c r="H5" s="1270" t="s">
        <v>1951</v>
      </c>
      <c r="I5" s="1270" t="s">
        <v>1952</v>
      </c>
      <c r="J5" s="2293" t="s">
        <v>1953</v>
      </c>
      <c r="K5" s="2294" t="s">
        <v>1954</v>
      </c>
      <c r="L5" s="2295" t="s">
        <v>1955</v>
      </c>
      <c r="M5" s="2296" t="s">
        <v>1956</v>
      </c>
      <c r="N5" s="2297" t="s">
        <v>3156</v>
      </c>
      <c r="O5" s="2295" t="s">
        <v>1957</v>
      </c>
      <c r="P5" s="2298" t="s">
        <v>1958</v>
      </c>
      <c r="Q5" s="69" t="s">
        <v>1959</v>
      </c>
      <c r="R5" s="2299" t="s">
        <v>1960</v>
      </c>
      <c r="S5" s="2300" t="s">
        <v>1961</v>
      </c>
      <c r="T5" s="2301" t="s">
        <v>1962</v>
      </c>
      <c r="U5" s="1269" t="s">
        <v>1963</v>
      </c>
      <c r="V5" s="1270" t="s">
        <v>1964</v>
      </c>
      <c r="W5" s="1270" t="s">
        <v>1965</v>
      </c>
      <c r="X5" s="71"/>
      <c r="Y5" s="70" t="s">
        <v>1966</v>
      </c>
      <c r="Z5" s="2302" t="s">
        <v>1963</v>
      </c>
      <c r="AA5" s="1270" t="s">
        <v>1964</v>
      </c>
      <c r="AB5" s="1270" t="s">
        <v>1965</v>
      </c>
      <c r="AC5" s="71"/>
      <c r="AD5" s="71" t="s">
        <v>1966</v>
      </c>
      <c r="AE5" s="1269" t="s">
        <v>1967</v>
      </c>
      <c r="AF5" s="1270" t="s">
        <v>1968</v>
      </c>
      <c r="AG5" s="70" t="s">
        <v>1969</v>
      </c>
      <c r="AH5" s="1269" t="s">
        <v>1970</v>
      </c>
      <c r="AI5" s="2302" t="s">
        <v>1971</v>
      </c>
      <c r="AJ5" s="2302" t="s">
        <v>1972</v>
      </c>
      <c r="AK5" s="1270" t="s">
        <v>1973</v>
      </c>
      <c r="AL5" s="1270" t="s">
        <v>1974</v>
      </c>
      <c r="AM5" s="70" t="s">
        <v>1975</v>
      </c>
      <c r="AN5" s="2303" t="s">
        <v>1976</v>
      </c>
      <c r="AO5" s="2073" t="s">
        <v>1977</v>
      </c>
      <c r="AP5" s="1251" t="s">
        <v>1978</v>
      </c>
      <c r="AQ5" s="2304" t="s">
        <v>1979</v>
      </c>
      <c r="AR5" s="2304" t="s">
        <v>1980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工业</v>
      </c>
      <c r="B6" s="2306" t="str">
        <f>IF(A6=0,"","经营性")</f>
        <v>经营性</v>
      </c>
      <c r="C6" s="2307" t="s">
        <v>6</v>
      </c>
      <c r="D6" s="1053">
        <f>SUMIF(项目基本情况!D$12:I$12,C6,项目基本情况!D$14:I$14)</f>
        <v>50</v>
      </c>
      <c r="E6" s="1050">
        <f>IF(B6="","",SUMIF(项目基本情况!D$12:I$12,C6,项目基本情况!D$13:I$13))</f>
        <v>57516</v>
      </c>
      <c r="F6" s="72">
        <f>SUMIF(项目基本情况!D$12:I$12,C6,项目基本情况!D$15:I$15)</f>
        <v>39.090000000000003</v>
      </c>
      <c r="G6" s="73">
        <f>IF(ISERROR(ROUND(POWER(1+H6,D6-F6)*(POWER(1+H6,F6)-1)/(POWER(1+H6,D6)-1),3)),0,ROUND(POWER(1+H6,D6-F6)*(POWER(1+H6,F6)-1)/(POWER(1+H6,D6)-1),3))</f>
        <v>0.90100000000000002</v>
      </c>
      <c r="H6" s="802">
        <v>3.5000000000000003E-2</v>
      </c>
      <c r="I6" s="802">
        <v>0.04</v>
      </c>
      <c r="J6" s="74">
        <v>0.08</v>
      </c>
      <c r="K6" s="1253">
        <f>SUMIF('数据-汇总表'!C$19:C$33,A6,'数据-汇总表'!E$19:E$33)</f>
        <v>43891.520000000004</v>
      </c>
      <c r="L6" s="803">
        <v>1600</v>
      </c>
      <c r="M6" s="75">
        <f t="shared" ref="M6:M14" si="0">ROUND(K6*L6/10000,0)</f>
        <v>7023</v>
      </c>
      <c r="N6" s="801">
        <f>Sheet2!J14</f>
        <v>0.86</v>
      </c>
      <c r="O6" s="75" t="str">
        <f>IF($N$5="成新度","——",ROUND(M6*N6,0))</f>
        <v>——</v>
      </c>
      <c r="P6" s="76" t="str">
        <f>IF($N$5="成新度","——",M6-O6)</f>
        <v>——</v>
      </c>
      <c r="Q6" s="804">
        <v>0.1</v>
      </c>
      <c r="R6" s="77">
        <f ca="1">SUMIF('数据-汇总表'!C$19:C$33,A6,'数据-汇总表'!R$19:R$27)</f>
        <v>62946.5</v>
      </c>
      <c r="S6" s="54">
        <f>IF('数据-汇总表'!$I$17="按面积比例",SUMIF('数据-汇总表'!C$19:C$33,A6,'数据-汇总表'!K$19:K$33),SUMIF('数据-汇总表'!C$19:C$33,A6,'数据-汇总表'!N$19:N$33))</f>
        <v>1137.8599999999999</v>
      </c>
      <c r="T6" s="1445">
        <f>ROUND($L$14*S6/10000,0)</f>
        <v>182</v>
      </c>
      <c r="U6" s="78">
        <v>1.1000000000000001</v>
      </c>
      <c r="V6" s="79">
        <v>0.02</v>
      </c>
      <c r="W6" s="79">
        <v>0.12</v>
      </c>
      <c r="X6" s="1263"/>
      <c r="Y6" s="80">
        <f>N6</f>
        <v>0.86</v>
      </c>
      <c r="Z6" s="81"/>
      <c r="AA6" s="74"/>
      <c r="AB6" s="74"/>
      <c r="AC6" s="1263"/>
      <c r="AD6" s="82"/>
      <c r="AE6" s="1264">
        <f ca="1">IF(AN6="",0,SUMIF(INDIRECT("'"&amp;AN6&amp;"'"&amp;"!E:E"),$AE$5,INDIRECT("'"&amp;AN6&amp;"'"&amp;"!F:F")))</f>
        <v>39.090000000000003</v>
      </c>
      <c r="AF6" s="1806"/>
      <c r="AG6" s="147">
        <f>IF(AF6="",0,AE6-AF6)</f>
        <v>0</v>
      </c>
      <c r="AH6" s="83"/>
      <c r="AI6" s="85">
        <v>365</v>
      </c>
      <c r="AJ6" s="86"/>
      <c r="AK6" s="87">
        <v>1.4999999999999999E-2</v>
      </c>
      <c r="AL6" s="88">
        <v>2E-3</v>
      </c>
      <c r="AM6" s="89">
        <v>1.4999999999999999E-2</v>
      </c>
      <c r="AN6" s="2308" t="s">
        <v>3162</v>
      </c>
      <c r="AO6" s="55">
        <f ca="1">SUMIF(INDIRECT("'"&amp;AN6&amp;"'"&amp;"!A:A"),"总价",INDIRECT("'"&amp;AN6&amp;"'"&amp;"!B:B"))</f>
        <v>27765</v>
      </c>
      <c r="AP6" s="2309">
        <f>IF(C6="住宅",K6*L6,0)</f>
        <v>0</v>
      </c>
      <c r="AQ6" s="55">
        <f>ROUND($L$14*$N$14*S6/10000,0)</f>
        <v>142</v>
      </c>
      <c r="AR6" s="55">
        <f>ROUND($L$14*(1-$N$14)*S6/10000,0)</f>
        <v>40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1981</v>
      </c>
      <c r="B14" s="2306" t="s">
        <v>1982</v>
      </c>
      <c r="C14" s="2311" t="s">
        <v>1981</v>
      </c>
      <c r="D14" s="1053"/>
      <c r="E14" s="1050"/>
      <c r="F14" s="72"/>
      <c r="G14" s="73"/>
      <c r="H14" s="1252"/>
      <c r="I14" s="1252"/>
      <c r="J14" s="1252"/>
      <c r="K14" s="1253">
        <f>SUMIF('数据-汇总表'!C$19:C$33,A14,'数据-汇总表'!E$19:E$33)</f>
        <v>1137.8599999999999</v>
      </c>
      <c r="L14" s="91">
        <f>L6</f>
        <v>1600</v>
      </c>
      <c r="M14" s="75">
        <f t="shared" si="0"/>
        <v>182</v>
      </c>
      <c r="N14" s="92">
        <f>Sheet2!D6</f>
        <v>0.78</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1983</v>
      </c>
      <c r="B15" s="2306" t="s">
        <v>1982</v>
      </c>
      <c r="C15" s="2311" t="s">
        <v>1984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1985</v>
      </c>
      <c r="B16" s="97"/>
      <c r="C16" s="1008"/>
      <c r="D16" s="2313"/>
      <c r="E16" s="97"/>
      <c r="F16" s="97"/>
      <c r="G16" s="98">
        <f>ROUND(SUMPRODUCT(G6:G13,K6:K13)/SUMPRODUCT((G6:G13&gt;0)*(K6:K13)),3)</f>
        <v>0.90100000000000002</v>
      </c>
      <c r="H16" s="99">
        <f>ROUND(SUMPRODUCT(H6:H13,K6:K13)/SUMPRODUCT((H6:H13&gt;0)*(K6:K13)),3)</f>
        <v>3.5000000000000003E-2</v>
      </c>
      <c r="I16" s="100"/>
      <c r="J16" s="100"/>
      <c r="K16" s="101">
        <f>SUM(K6:K15)</f>
        <v>45029.380000000005</v>
      </c>
      <c r="L16" s="102">
        <f>ROUND(M16*10000/SUM(K6:K14),0)</f>
        <v>1600</v>
      </c>
      <c r="M16" s="102">
        <f>SUM(M6:M14)</f>
        <v>7205</v>
      </c>
      <c r="N16" s="103">
        <f>ROUND(SUMPRODUCT(M6:M14,N6:N14)/M16,3)</f>
        <v>0.85799999999999998</v>
      </c>
      <c r="O16" s="102">
        <f>SUM(O6:O14)</f>
        <v>0</v>
      </c>
      <c r="P16" s="102">
        <f>SUM(P6:P14)</f>
        <v>0</v>
      </c>
      <c r="Q16" s="104">
        <f>ROUND(SUMPRODUCT(Q6:Q13,K6:K13)/SUMPRODUCT((Q6:Q13&gt;0)*(K6:K13)),2)</f>
        <v>0.1</v>
      </c>
      <c r="R16" s="1257">
        <f ca="1">SUM(R6:R13)</f>
        <v>62946.5</v>
      </c>
      <c r="S16" s="105">
        <f>SUM(S6:S13)</f>
        <v>1137.8599999999999</v>
      </c>
      <c r="T16" s="106">
        <f>IF(SUMIF(T6:T13,"&lt;9E307")=M14,SUMIF(T6:T13,"&lt;9E307"),"有误，请检查")</f>
        <v>182</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1986</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1987</v>
      </c>
      <c r="B19" s="112">
        <v>0</v>
      </c>
      <c r="C19" s="2276" t="s">
        <v>1988</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1989</v>
      </c>
      <c r="B20" s="113">
        <v>1</v>
      </c>
      <c r="C20" s="2276" t="s">
        <v>1990</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1991</v>
      </c>
      <c r="B21" s="113">
        <v>1</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1992</v>
      </c>
      <c r="B22" s="114">
        <f>B19+B20</f>
        <v>1</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1993</v>
      </c>
      <c r="B23" s="114">
        <f>B19+B21</f>
        <v>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1994</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1995</v>
      </c>
      <c r="B26" s="2319" t="s">
        <v>1996</v>
      </c>
      <c r="C26" s="2320" t="s">
        <v>1997</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1998</v>
      </c>
      <c r="B27" s="116"/>
      <c r="C27" s="1766" t="s">
        <v>1999</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2000</v>
      </c>
      <c r="B28" s="119">
        <v>21.6</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2001</v>
      </c>
      <c r="B29" s="121">
        <f>ROUND(B28*K16/10000,0)</f>
        <v>97</v>
      </c>
      <c r="C29" s="1766" t="s">
        <v>2002</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2003</v>
      </c>
      <c r="B30" s="724">
        <v>150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2004</v>
      </c>
      <c r="B31" s="120">
        <f>B30-B32</f>
        <v>150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2005</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2006</v>
      </c>
      <c r="B33" s="726">
        <v>0.03</v>
      </c>
      <c r="C33" s="1765" t="s">
        <v>2007</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2008</v>
      </c>
      <c r="B34" s="122">
        <v>0</v>
      </c>
      <c r="C34" s="1765" t="s">
        <v>2009</v>
      </c>
      <c r="D34" s="2277" t="s">
        <v>2010</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2011</v>
      </c>
      <c r="B35" s="119">
        <f>B30</f>
        <v>150</v>
      </c>
      <c r="C35" s="1765" t="s">
        <v>2012</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2013</v>
      </c>
      <c r="B36" s="123">
        <v>1.4999999999999999E-2</v>
      </c>
      <c r="C36" s="1765" t="s">
        <v>2014</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2015</v>
      </c>
      <c r="B37" s="124">
        <v>0.01</v>
      </c>
      <c r="C37" s="1765" t="s">
        <v>2016</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2017</v>
      </c>
      <c r="B38" s="122">
        <v>0.01</v>
      </c>
      <c r="C38" s="1765" t="s">
        <v>2016</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2018</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2019</v>
      </c>
      <c r="B40" s="1302">
        <f ca="1">存贷款利率!G1</f>
        <v>4.3499999999999997E-2</v>
      </c>
      <c r="C40" s="1765" t="s">
        <v>2020</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2021</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2022</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2023</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2024</v>
      </c>
      <c r="B44" s="128">
        <v>7.0000000000000007E-2</v>
      </c>
      <c r="C44" s="1765" t="s">
        <v>2025</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2026</v>
      </c>
      <c r="B45" s="126">
        <v>0.03</v>
      </c>
      <c r="C45" s="1766" t="s">
        <v>2027</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2028</v>
      </c>
      <c r="B46" s="126">
        <v>0.02</v>
      </c>
      <c r="C46" s="1766" t="s">
        <v>2029</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2030</v>
      </c>
      <c r="B47" s="129">
        <v>0</v>
      </c>
      <c r="C47" s="1766" t="s">
        <v>2031</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2032</v>
      </c>
      <c r="B48" s="130">
        <v>0.04</v>
      </c>
      <c r="C48" s="1773" t="s">
        <v>2033</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2034</v>
      </c>
      <c r="B49" s="126">
        <v>5.0000000000000001E-4</v>
      </c>
      <c r="C49" s="1773" t="s">
        <v>2035</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2036</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2037</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2038</v>
      </c>
      <c r="B52" s="133">
        <f>SUMIF(A54:A63,B53,B54:B63)</f>
        <v>8</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2039</v>
      </c>
      <c r="B53" s="2335" t="s">
        <v>3160</v>
      </c>
      <c r="C53" s="1429" t="s">
        <v>2040</v>
      </c>
      <c r="D53" s="2336" t="s">
        <v>2041</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951" t="s">
        <v>3161</v>
      </c>
      <c r="B54" s="84">
        <v>8</v>
      </c>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4" t="s">
        <v>2042</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2043</v>
      </c>
      <c r="D2" s="2365"/>
      <c r="E2" s="2366"/>
      <c r="F2" s="2285"/>
      <c r="G2" s="2364" t="s">
        <v>2044</v>
      </c>
      <c r="H2" s="2367"/>
      <c r="I2" s="2367"/>
      <c r="J2" s="2367"/>
      <c r="K2" s="2367"/>
      <c r="L2" s="2367"/>
      <c r="M2" s="2367"/>
      <c r="N2" s="2367"/>
      <c r="O2" s="2367"/>
      <c r="P2" s="2367"/>
      <c r="Q2" s="2367"/>
      <c r="R2" s="2367"/>
    </row>
    <row r="3" spans="1:29" ht="54">
      <c r="A3" s="415" t="s">
        <v>2045</v>
      </c>
      <c r="B3" s="1270" t="s">
        <v>2046</v>
      </c>
      <c r="C3" s="2369" t="s">
        <v>2047</v>
      </c>
      <c r="D3" s="2370"/>
      <c r="E3" s="431" t="s">
        <v>2045</v>
      </c>
      <c r="F3" s="2371" t="s">
        <v>2048</v>
      </c>
      <c r="G3" s="2952" t="s">
        <v>3174</v>
      </c>
      <c r="H3" s="2367"/>
      <c r="I3" s="2367"/>
      <c r="J3" s="2367"/>
      <c r="K3" s="2367"/>
      <c r="L3" s="2367"/>
      <c r="M3" s="2367"/>
      <c r="N3" s="2367"/>
      <c r="O3" s="2367"/>
      <c r="P3" s="2367"/>
      <c r="Q3" s="2367"/>
      <c r="R3" s="2367"/>
    </row>
    <row r="4" spans="1:29" ht="54">
      <c r="A4" s="431"/>
      <c r="B4" s="1797" t="s">
        <v>2049</v>
      </c>
      <c r="C4" s="2372" t="s">
        <v>2050</v>
      </c>
      <c r="D4" s="2370"/>
      <c r="E4" s="2373"/>
      <c r="F4" s="42" t="s">
        <v>2051</v>
      </c>
      <c r="G4" s="2953" t="s">
        <v>3175</v>
      </c>
      <c r="H4" s="2367"/>
      <c r="I4" s="2367"/>
      <c r="J4" s="2367"/>
      <c r="K4" s="2367"/>
      <c r="L4" s="2367"/>
      <c r="M4" s="2367"/>
      <c r="N4" s="2367"/>
      <c r="O4" s="2367"/>
      <c r="P4" s="2367"/>
      <c r="Q4" s="2367"/>
      <c r="R4" s="2367"/>
    </row>
    <row r="5" spans="1:29" ht="41.25">
      <c r="A5" s="431"/>
      <c r="B5" s="1797" t="s">
        <v>2053</v>
      </c>
      <c r="C5" s="2372" t="s">
        <v>2054</v>
      </c>
      <c r="D5" s="2370"/>
      <c r="E5" s="2373"/>
      <c r="F5" s="1797" t="s">
        <v>2055</v>
      </c>
      <c r="G5" s="2953" t="s">
        <v>3176</v>
      </c>
      <c r="H5" s="2367"/>
      <c r="I5" s="2367"/>
      <c r="J5" s="2367"/>
      <c r="K5" s="2367"/>
      <c r="L5" s="2367"/>
      <c r="M5" s="2367"/>
      <c r="N5" s="2367"/>
      <c r="O5" s="2367"/>
      <c r="P5" s="2367"/>
      <c r="Q5" s="2367"/>
      <c r="R5" s="2367"/>
    </row>
    <row r="6" spans="1:29" ht="54">
      <c r="A6" s="431"/>
      <c r="B6" s="1797" t="s">
        <v>2057</v>
      </c>
      <c r="C6" s="2374" t="s">
        <v>2052</v>
      </c>
      <c r="D6" s="2370"/>
      <c r="E6" s="2373"/>
      <c r="F6" s="1797" t="s">
        <v>2058</v>
      </c>
      <c r="G6" s="2953" t="s">
        <v>3177</v>
      </c>
      <c r="H6" s="2367"/>
      <c r="I6" s="2367"/>
      <c r="J6" s="2367"/>
      <c r="K6" s="2367"/>
      <c r="L6" s="2367"/>
      <c r="M6" s="2367"/>
      <c r="N6" s="2367"/>
      <c r="O6" s="2367"/>
      <c r="P6" s="2367"/>
      <c r="Q6" s="2367"/>
      <c r="R6" s="2367"/>
    </row>
    <row r="7" spans="1:29" ht="41.25" thickBot="1">
      <c r="A7" s="431"/>
      <c r="B7" s="1797" t="s">
        <v>2055</v>
      </c>
      <c r="C7" s="2374" t="s">
        <v>2056</v>
      </c>
      <c r="D7" s="2375"/>
      <c r="E7" s="2376"/>
      <c r="F7" s="2377" t="s">
        <v>2060</v>
      </c>
      <c r="G7" s="2954" t="s">
        <v>3178</v>
      </c>
      <c r="H7" s="2367"/>
      <c r="I7" s="2367"/>
      <c r="J7" s="2367"/>
      <c r="K7" s="2367"/>
      <c r="L7" s="2367"/>
      <c r="M7" s="2367"/>
      <c r="N7" s="2367"/>
      <c r="O7" s="2367"/>
      <c r="P7" s="2367"/>
      <c r="Q7" s="2367"/>
      <c r="R7" s="2367"/>
    </row>
    <row r="8" spans="1:29" ht="27">
      <c r="A8" s="431"/>
      <c r="B8" s="1797" t="s">
        <v>2058</v>
      </c>
      <c r="C8" s="2374" t="s">
        <v>2059</v>
      </c>
      <c r="D8" s="2375"/>
      <c r="E8" s="2375"/>
      <c r="F8" s="1135"/>
      <c r="G8" s="1135"/>
      <c r="H8" s="2367"/>
      <c r="I8" s="2367"/>
      <c r="J8" s="2367"/>
      <c r="K8" s="2367"/>
      <c r="L8" s="2367"/>
      <c r="M8" s="2367"/>
      <c r="N8" s="2367"/>
      <c r="O8" s="2367"/>
      <c r="P8" s="2367"/>
      <c r="Q8" s="2367"/>
      <c r="R8" s="2367"/>
    </row>
    <row r="9" spans="1:29" ht="27">
      <c r="A9" s="431"/>
      <c r="B9" s="1797" t="s">
        <v>2061</v>
      </c>
      <c r="C9" s="2372" t="s">
        <v>2062</v>
      </c>
      <c r="D9" s="2370"/>
      <c r="E9" s="2375"/>
      <c r="F9" s="1135"/>
      <c r="G9" s="1135"/>
      <c r="H9" s="2367"/>
      <c r="I9" s="2367"/>
      <c r="J9" s="2367"/>
      <c r="K9" s="2367"/>
      <c r="L9" s="2367"/>
      <c r="M9" s="2367"/>
      <c r="N9" s="2367"/>
      <c r="O9" s="2367"/>
      <c r="P9" s="2367"/>
      <c r="Q9" s="2367"/>
      <c r="R9" s="2367"/>
    </row>
    <row r="10" spans="1:29" s="117" customFormat="1" ht="15.75" thickBot="1">
      <c r="A10" s="2378"/>
      <c r="B10" s="2379" t="s">
        <v>2063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2064</v>
      </c>
      <c r="B13" s="2385"/>
      <c r="C13" s="2385"/>
      <c r="D13" s="2392"/>
      <c r="E13" s="2385"/>
      <c r="F13" s="2385"/>
      <c r="G13" s="2385"/>
    </row>
    <row r="14" spans="1:29" ht="15.75" thickBot="1">
      <c r="A14" s="2396"/>
      <c r="B14" s="2397"/>
      <c r="C14" s="2398" t="s">
        <v>2065</v>
      </c>
      <c r="D14" s="2370"/>
      <c r="E14" s="2399"/>
      <c r="F14" s="2399"/>
      <c r="G14" s="2364" t="s">
        <v>2066</v>
      </c>
    </row>
    <row r="15" spans="1:29" ht="57">
      <c r="A15" s="68" t="s">
        <v>2067</v>
      </c>
      <c r="B15" s="1269" t="s">
        <v>2046</v>
      </c>
      <c r="C15" s="2400" t="str">
        <f>C3</f>
        <v>估价对象周边居住用地比例、居住小区规模和社区发展完善程度，综合评价居住社区成熟度一般</v>
      </c>
      <c r="D15" s="2370"/>
      <c r="E15" s="2401" t="s">
        <v>2068</v>
      </c>
      <c r="F15" s="1269" t="s">
        <v>2069</v>
      </c>
      <c r="G15" s="135" t="str">
        <f>G3</f>
        <v>估价对象位廊坊开发区，周边工业建设较成熟，产业集聚程度较好</v>
      </c>
    </row>
    <row r="16" spans="1:29" ht="57">
      <c r="A16" s="645"/>
      <c r="B16" s="2402" t="s">
        <v>2049</v>
      </c>
      <c r="C16" s="2403" t="str">
        <f>C4</f>
        <v>估价对象位于XX商圈，周边商业氛围成熟，人流量大，商业繁华度好</v>
      </c>
      <c r="D16" s="2370"/>
      <c r="E16" s="2404"/>
      <c r="F16" s="2405" t="s">
        <v>2051</v>
      </c>
      <c r="G16" s="136" t="str">
        <f>G4</f>
        <v>估价对象周边有16路、17路等多条公共路线、停车较便捷，东距城市主干道600米，综合评价交通便捷度较好</v>
      </c>
    </row>
    <row r="17" spans="1:18" ht="42.75">
      <c r="A17" s="645"/>
      <c r="B17" s="2402" t="s">
        <v>2053</v>
      </c>
      <c r="C17" s="2403" t="str">
        <f>C5</f>
        <v>估价对象位于XX商圈，周边办公楼项目较多，入驻率高，办公集聚程度较好</v>
      </c>
      <c r="D17" s="2375"/>
      <c r="E17" s="2404"/>
      <c r="F17" s="2405" t="s">
        <v>2070</v>
      </c>
      <c r="G17" s="1571"/>
    </row>
    <row r="18" spans="1:18" ht="57">
      <c r="A18" s="645"/>
      <c r="B18" s="2405" t="s">
        <v>2057</v>
      </c>
      <c r="C18" s="136" t="str">
        <f>C6</f>
        <v>估价对象周边道路状况、公共交通通达情况、停车便捷程度，综合评价交通便捷度较好</v>
      </c>
      <c r="D18" s="2375"/>
      <c r="E18" s="2404"/>
      <c r="F18" s="2405" t="s">
        <v>2060</v>
      </c>
      <c r="G18" s="136" t="str">
        <f>G7</f>
        <v>该园区内无污染型企业，绿化较好，卫生条件良好，整体环境状况较好</v>
      </c>
    </row>
    <row r="19" spans="1:18" ht="28.5">
      <c r="A19" s="645"/>
      <c r="B19" s="2405" t="s">
        <v>2071</v>
      </c>
      <c r="C19" s="2955" t="s">
        <v>3184</v>
      </c>
      <c r="D19" s="2370"/>
      <c r="E19" s="2404"/>
      <c r="F19" s="1797" t="s">
        <v>2055</v>
      </c>
      <c r="G19" s="136" t="str">
        <f>G5</f>
        <v>估价对象所在区域公共配套设施齐备情况一般</v>
      </c>
    </row>
    <row r="20" spans="1:18" ht="28.5">
      <c r="A20" s="645"/>
      <c r="B20" s="2405" t="s">
        <v>2072</v>
      </c>
      <c r="C20" s="2403" t="str">
        <f>C9</f>
        <v>区域自然环境：；人文环境；综合评价环境状况一般</v>
      </c>
      <c r="D20" s="2375"/>
      <c r="E20" s="2404"/>
      <c r="F20" s="1797" t="s">
        <v>2073</v>
      </c>
      <c r="G20" s="136" t="str">
        <f>G6</f>
        <v>估价对象所在区域基础设施水平七通</v>
      </c>
    </row>
    <row r="21" spans="1:18" ht="28.5">
      <c r="A21" s="645"/>
      <c r="B21" s="1797" t="s">
        <v>2055</v>
      </c>
      <c r="C21" s="136" t="str">
        <f>C7</f>
        <v>估价对象所在区域公共配套设施齐备情况</v>
      </c>
      <c r="D21" s="2370"/>
      <c r="E21" s="2404"/>
      <c r="F21" s="2405" t="s">
        <v>2074</v>
      </c>
      <c r="G21" s="2406" t="s">
        <v>3179</v>
      </c>
    </row>
    <row r="22" spans="1:18" ht="13.5" customHeight="1">
      <c r="A22" s="645"/>
      <c r="B22" s="1797" t="s">
        <v>2058</v>
      </c>
      <c r="C22" s="136" t="str">
        <f>C8</f>
        <v>估价对象所在区域基础设施水平</v>
      </c>
      <c r="D22" s="2370"/>
      <c r="E22" s="2404"/>
      <c r="F22" s="2405" t="s">
        <v>2063</v>
      </c>
      <c r="G22" s="2955" t="s">
        <v>3180</v>
      </c>
    </row>
    <row r="23" spans="1:18" s="2367" customFormat="1" ht="15.75" thickBot="1">
      <c r="A23" s="645"/>
      <c r="B23" s="2405" t="s">
        <v>2074</v>
      </c>
      <c r="C23" s="2406"/>
      <c r="D23" s="2393"/>
      <c r="E23" s="2407"/>
      <c r="F23" s="2408" t="s">
        <v>2075</v>
      </c>
      <c r="G23" s="2409"/>
      <c r="H23" s="2393"/>
      <c r="I23" s="2394"/>
      <c r="J23" s="2393"/>
      <c r="K23" s="2393"/>
      <c r="L23" s="2394"/>
      <c r="M23" s="2393"/>
      <c r="N23" s="2393"/>
      <c r="O23" s="2394"/>
      <c r="P23" s="2393"/>
      <c r="Q23" s="2393"/>
      <c r="R23" s="2395"/>
    </row>
    <row r="24" spans="1:18" s="2367" customFormat="1" ht="15.75" thickBot="1">
      <c r="A24" s="2410"/>
      <c r="B24" s="2408" t="s">
        <v>2076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1364</v>
      </c>
      <c r="B1" s="1745">
        <f>SUM(B14:B23)</f>
        <v>45029.380000000005</v>
      </c>
      <c r="C1" s="1744"/>
      <c r="D1" s="1744"/>
      <c r="E1" s="1744"/>
      <c r="F1" s="1744"/>
      <c r="G1" s="1742"/>
    </row>
    <row r="2" spans="1:10" ht="16.5">
      <c r="A2" s="1745" t="s">
        <v>1352</v>
      </c>
      <c r="B2" s="1745">
        <f>SUM(C14:C23)</f>
        <v>62946.5</v>
      </c>
      <c r="C2" s="1744"/>
      <c r="D2" s="1744"/>
      <c r="E2" s="1744"/>
      <c r="F2" s="1744"/>
      <c r="G2" s="1742"/>
    </row>
    <row r="3" spans="1:10" ht="16.5">
      <c r="A3" s="1745" t="s">
        <v>1361</v>
      </c>
      <c r="B3" s="1746">
        <f>项目基本情况!D3</f>
        <v>43245</v>
      </c>
      <c r="C3" s="1744"/>
      <c r="D3" s="1744"/>
      <c r="E3" s="1744"/>
      <c r="F3" s="1744"/>
      <c r="G3" s="1742"/>
    </row>
    <row r="4" spans="1:10" ht="33">
      <c r="A4" s="1745" t="s">
        <v>1360</v>
      </c>
      <c r="B4" s="1745" t="s">
        <v>1359</v>
      </c>
      <c r="C4" s="1745" t="s">
        <v>1358</v>
      </c>
      <c r="D4" s="1745" t="s">
        <v>1357</v>
      </c>
      <c r="E4" s="1744"/>
      <c r="F4" s="1742"/>
      <c r="G4" s="1742"/>
    </row>
    <row r="5" spans="1:10" ht="16.5">
      <c r="A5" s="1745" t="s">
        <v>1356</v>
      </c>
      <c r="B5" s="1745">
        <f ca="1">SUM(D14:D23)</f>
        <v>23062</v>
      </c>
      <c r="C5" s="1745">
        <f ca="1">ROUND(B5*10000/$B$1,0)</f>
        <v>5122</v>
      </c>
      <c r="D5" s="1745">
        <f ca="1">ROUND(B5*10000/$B$2,0)</f>
        <v>3664</v>
      </c>
      <c r="E5" s="1744"/>
      <c r="F5" s="1742"/>
      <c r="G5" s="1742"/>
    </row>
    <row r="6" spans="1:10" ht="16.5">
      <c r="A6" s="1745" t="s">
        <v>1355</v>
      </c>
      <c r="B6" s="1745">
        <f ca="1">SUM(G14:G23)</f>
        <v>23062</v>
      </c>
      <c r="C6" s="1745">
        <f ca="1">ROUND(B6*10000/$B$1,0)</f>
        <v>5122</v>
      </c>
      <c r="D6" s="1745">
        <f ca="1">ROUND(B6*10000/$B$2,0)</f>
        <v>3664</v>
      </c>
      <c r="E6" s="1744"/>
      <c r="F6" s="1742"/>
      <c r="G6" s="1742"/>
    </row>
    <row r="7" spans="1:10" ht="16.5">
      <c r="A7" s="1745" t="s">
        <v>1363</v>
      </c>
      <c r="B7" s="1745">
        <f>SUM(H14:H23)</f>
        <v>0</v>
      </c>
      <c r="C7" s="1745">
        <f>ROUND(B7*10000/$B$1,0)</f>
        <v>0</v>
      </c>
      <c r="D7" s="1745">
        <f>ROUND(B7*10000/$B$2,0)</f>
        <v>0</v>
      </c>
      <c r="E7" s="1744"/>
      <c r="F7" s="1742"/>
      <c r="G7" s="1742"/>
    </row>
    <row r="8" spans="1:10" ht="16.5">
      <c r="A8" s="1745" t="s">
        <v>1284</v>
      </c>
      <c r="B8" s="1745">
        <f>SUM(I14:I23)</f>
        <v>0</v>
      </c>
      <c r="C8" s="1745">
        <f>ROUND(B8*10000/$B$1,0)</f>
        <v>0</v>
      </c>
      <c r="D8" s="1745">
        <f>ROUND(B8*10000/$B$2,0)</f>
        <v>0</v>
      </c>
      <c r="E8" s="1744"/>
      <c r="F8" s="1742"/>
      <c r="G8" s="1742"/>
    </row>
    <row r="9" spans="1:10" ht="16.5">
      <c r="A9" s="1745" t="s">
        <v>1354</v>
      </c>
      <c r="B9" s="1747"/>
      <c r="C9" s="1744"/>
      <c r="D9" s="1744"/>
      <c r="E9" s="1744"/>
      <c r="F9" s="1742"/>
      <c r="G9" s="1742"/>
    </row>
    <row r="10" spans="1:10" ht="16.5">
      <c r="A10" s="1745" t="s">
        <v>1353</v>
      </c>
      <c r="B10" s="1747"/>
      <c r="C10" s="1744"/>
      <c r="D10" s="1744"/>
      <c r="E10" s="1744"/>
      <c r="F10" s="1742"/>
      <c r="G10" s="1742"/>
    </row>
    <row r="11" spans="1:10" ht="16.5">
      <c r="A11" s="1745" t="s">
        <v>1369</v>
      </c>
      <c r="B11" s="1747"/>
      <c r="C11" s="1744"/>
      <c r="D11" s="1744"/>
      <c r="E11" s="1744"/>
      <c r="F11" s="1742"/>
      <c r="G11" s="1742"/>
    </row>
    <row r="12" spans="1:10" ht="16.5">
      <c r="A12" s="1744"/>
      <c r="B12" s="1744"/>
      <c r="C12" s="1744"/>
      <c r="D12" s="1744"/>
      <c r="E12" s="1744"/>
      <c r="F12" s="1742"/>
      <c r="G12" s="1742"/>
    </row>
    <row r="13" spans="1:10" ht="33">
      <c r="A13" s="1750" t="s">
        <v>1368</v>
      </c>
      <c r="B13" s="1743" t="s">
        <v>1365</v>
      </c>
      <c r="C13" s="1743" t="s">
        <v>1367</v>
      </c>
      <c r="D13" s="1743" t="s">
        <v>1366</v>
      </c>
      <c r="E13" s="1745" t="s">
        <v>1358</v>
      </c>
      <c r="F13" s="1745" t="s">
        <v>1357</v>
      </c>
      <c r="G13" s="1743" t="s">
        <v>1351</v>
      </c>
      <c r="H13" s="1743" t="s">
        <v>1362</v>
      </c>
      <c r="I13" s="1743" t="s">
        <v>1350</v>
      </c>
      <c r="J13" s="1742"/>
    </row>
    <row r="14" spans="1:10" ht="16.5">
      <c r="A14" s="1741" t="s">
        <v>1349</v>
      </c>
      <c r="B14" s="1743">
        <f>结果表!B118</f>
        <v>45029.380000000005</v>
      </c>
      <c r="C14" s="1743">
        <f>结果表!C118</f>
        <v>62946.5</v>
      </c>
      <c r="D14" s="1743">
        <f ca="1">结果表!H118</f>
        <v>23062</v>
      </c>
      <c r="E14" s="1743">
        <f ca="1">ROUND(D14*10000/B14,0)</f>
        <v>5122</v>
      </c>
      <c r="F14" s="1743">
        <f ca="1">ROUND(D14*10000/C14,0)</f>
        <v>3664</v>
      </c>
      <c r="G14" s="1743">
        <f ca="1">结果表!D122</f>
        <v>23062</v>
      </c>
      <c r="H14" s="1743" t="str">
        <f>结果表!D124</f>
        <v>——</v>
      </c>
      <c r="I14" s="1743" t="str">
        <f>结果表!D126</f>
        <v>——</v>
      </c>
      <c r="J14" s="1742"/>
    </row>
    <row r="15" spans="1:10" ht="16.5">
      <c r="A15" s="1741" t="s">
        <v>1348</v>
      </c>
      <c r="B15" s="1748"/>
      <c r="C15" s="1748"/>
      <c r="D15" s="1748"/>
      <c r="E15" s="1743" t="e">
        <f t="shared" ref="E15:E23" si="0">ROUND(D15*10000/B15,0)</f>
        <v>#DIV/0!</v>
      </c>
      <c r="F15" s="1743" t="e">
        <f t="shared" ref="F15:F23" si="1">ROUND(D15*10000/C15,0)</f>
        <v>#DIV/0!</v>
      </c>
      <c r="G15" s="1749"/>
      <c r="H15" s="1749"/>
      <c r="I15" s="1748"/>
      <c r="J15" s="1742"/>
    </row>
    <row r="16" spans="1:10" ht="16.5">
      <c r="A16" s="1741" t="s">
        <v>1347</v>
      </c>
      <c r="B16" s="1748"/>
      <c r="C16" s="1748"/>
      <c r="D16" s="1748"/>
      <c r="E16" s="1743" t="e">
        <f t="shared" si="0"/>
        <v>#DIV/0!</v>
      </c>
      <c r="F16" s="1743" t="e">
        <f t="shared" si="1"/>
        <v>#DIV/0!</v>
      </c>
      <c r="G16" s="1749"/>
      <c r="H16" s="1749"/>
      <c r="I16" s="1748"/>
    </row>
    <row r="17" spans="1:9" ht="16.5">
      <c r="A17" s="1741" t="s">
        <v>1346</v>
      </c>
      <c r="B17" s="1748"/>
      <c r="C17" s="1748"/>
      <c r="D17" s="1748"/>
      <c r="E17" s="1743" t="e">
        <f t="shared" si="0"/>
        <v>#DIV/0!</v>
      </c>
      <c r="F17" s="1743" t="e">
        <f t="shared" si="1"/>
        <v>#DIV/0!</v>
      </c>
      <c r="G17" s="1749"/>
      <c r="H17" s="1749"/>
      <c r="I17" s="1748"/>
    </row>
    <row r="18" spans="1:9" ht="16.5">
      <c r="A18" s="1741" t="s">
        <v>1345</v>
      </c>
      <c r="B18" s="1748"/>
      <c r="C18" s="1748"/>
      <c r="D18" s="1748"/>
      <c r="E18" s="1743" t="e">
        <f t="shared" si="0"/>
        <v>#DIV/0!</v>
      </c>
      <c r="F18" s="1743" t="e">
        <f t="shared" si="1"/>
        <v>#DIV/0!</v>
      </c>
      <c r="G18" s="1748"/>
      <c r="H18" s="1748"/>
      <c r="I18" s="1748"/>
    </row>
    <row r="19" spans="1:9" ht="16.5">
      <c r="A19" s="1741" t="s">
        <v>1344</v>
      </c>
      <c r="B19" s="1748"/>
      <c r="C19" s="1748"/>
      <c r="D19" s="1748"/>
      <c r="E19" s="1743" t="e">
        <f t="shared" si="0"/>
        <v>#DIV/0!</v>
      </c>
      <c r="F19" s="1743" t="e">
        <f t="shared" si="1"/>
        <v>#DIV/0!</v>
      </c>
      <c r="G19" s="1748"/>
      <c r="H19" s="1748"/>
      <c r="I19" s="1748"/>
    </row>
    <row r="20" spans="1:9" ht="16.5">
      <c r="A20" s="1741" t="s">
        <v>1343</v>
      </c>
      <c r="B20" s="1748"/>
      <c r="C20" s="1748"/>
      <c r="D20" s="1748"/>
      <c r="E20" s="1743" t="e">
        <f t="shared" si="0"/>
        <v>#DIV/0!</v>
      </c>
      <c r="F20" s="1743" t="e">
        <f t="shared" si="1"/>
        <v>#DIV/0!</v>
      </c>
      <c r="G20" s="1748"/>
      <c r="H20" s="1748"/>
      <c r="I20" s="1748"/>
    </row>
    <row r="21" spans="1:9" ht="16.5">
      <c r="A21" s="1741" t="s">
        <v>1342</v>
      </c>
      <c r="B21" s="1748"/>
      <c r="C21" s="1748"/>
      <c r="D21" s="1748"/>
      <c r="E21" s="1743" t="e">
        <f t="shared" si="0"/>
        <v>#DIV/0!</v>
      </c>
      <c r="F21" s="1743" t="e">
        <f t="shared" si="1"/>
        <v>#DIV/0!</v>
      </c>
      <c r="G21" s="1748"/>
      <c r="H21" s="1748"/>
      <c r="I21" s="1748"/>
    </row>
    <row r="22" spans="1:9" ht="16.5">
      <c r="A22" s="1741" t="s">
        <v>1341</v>
      </c>
      <c r="B22" s="1748"/>
      <c r="C22" s="1748"/>
      <c r="D22" s="1748"/>
      <c r="E22" s="1743" t="e">
        <f t="shared" si="0"/>
        <v>#DIV/0!</v>
      </c>
      <c r="F22" s="1743" t="e">
        <f t="shared" si="1"/>
        <v>#DIV/0!</v>
      </c>
      <c r="G22" s="1748"/>
      <c r="H22" s="1748"/>
      <c r="I22" s="1748"/>
    </row>
    <row r="23" spans="1:9" ht="16.5">
      <c r="A23" s="1741" t="s">
        <v>1340</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H111" sqref="H11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2077</v>
      </c>
      <c r="B1" s="2416"/>
      <c r="C1" s="2417"/>
      <c r="D1" s="2416"/>
      <c r="E1" s="2416"/>
      <c r="F1" s="2418" t="s">
        <v>2078</v>
      </c>
      <c r="G1" s="2069" t="s">
        <v>3141</v>
      </c>
      <c r="H1" s="2419" t="str">
        <f>IF(G1="现房","——","估价对象范围")</f>
        <v>——</v>
      </c>
      <c r="I1" s="2420"/>
    </row>
    <row r="2" spans="1:12" ht="21.75" customHeight="1" thickBot="1">
      <c r="A2" s="3128" t="str">
        <f>项目基本情况!S2</f>
        <v>河北省廊坊市廊坊开发区华祥路东侧、耀华道北侧工业用房房地产</v>
      </c>
      <c r="B2" s="3129"/>
      <c r="C2" s="3129"/>
      <c r="D2" s="3129"/>
      <c r="E2" s="3129"/>
      <c r="F2" s="3129"/>
      <c r="G2" s="3129"/>
      <c r="H2" s="3129"/>
      <c r="I2" s="3130"/>
    </row>
    <row r="3" spans="1:12" ht="12.75">
      <c r="A3" s="3131" t="s">
        <v>2079</v>
      </c>
      <c r="B3" s="3132"/>
      <c r="C3" s="3132"/>
      <c r="D3" s="3132"/>
      <c r="E3" s="3132"/>
      <c r="F3" s="3132"/>
      <c r="G3" s="3132"/>
      <c r="H3" s="3132"/>
      <c r="I3" s="3132"/>
    </row>
    <row r="4" spans="1:12" ht="14.25">
      <c r="A4" s="2423" t="s">
        <v>2080</v>
      </c>
      <c r="B4" s="2424" t="s">
        <v>2081</v>
      </c>
      <c r="C4" s="2425" t="s">
        <v>3167</v>
      </c>
      <c r="D4" s="2425" t="s">
        <v>3162</v>
      </c>
      <c r="E4" s="3112" t="s">
        <v>2082</v>
      </c>
      <c r="F4" s="3125"/>
      <c r="G4" s="3125"/>
      <c r="H4" s="3125"/>
      <c r="I4" s="311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3" t="s">
        <v>2083</v>
      </c>
      <c r="B5" s="3029">
        <v>25</v>
      </c>
      <c r="C5" s="3133"/>
      <c r="D5" s="3121"/>
      <c r="E5" s="140" t="s">
        <v>2084</v>
      </c>
      <c r="F5" s="2427"/>
      <c r="G5" s="2427"/>
      <c r="H5" s="2427"/>
      <c r="I5" s="1833"/>
    </row>
    <row r="6" spans="1:12" ht="12.75">
      <c r="A6" s="3103"/>
      <c r="B6" s="3029"/>
      <c r="C6" s="3135"/>
      <c r="D6" s="3121"/>
      <c r="E6" s="140" t="s">
        <v>2085</v>
      </c>
      <c r="F6" s="2427"/>
      <c r="G6" s="2427"/>
      <c r="H6" s="2427"/>
      <c r="I6" s="1833"/>
    </row>
    <row r="7" spans="1:12" ht="12.75">
      <c r="A7" s="3103"/>
      <c r="B7" s="3029"/>
      <c r="C7" s="3134"/>
      <c r="D7" s="3121"/>
      <c r="E7" s="140" t="s">
        <v>2086</v>
      </c>
      <c r="F7" s="2427"/>
      <c r="G7" s="2427"/>
      <c r="H7" s="2427"/>
      <c r="I7" s="1833"/>
    </row>
    <row r="8" spans="1:12" ht="12.75">
      <c r="A8" s="3103" t="s">
        <v>2087</v>
      </c>
      <c r="B8" s="3029">
        <v>15</v>
      </c>
      <c r="C8" s="3133"/>
      <c r="D8" s="3121"/>
      <c r="E8" s="140" t="s">
        <v>2088</v>
      </c>
      <c r="F8" s="2427"/>
      <c r="G8" s="2427"/>
      <c r="H8" s="2427"/>
      <c r="I8" s="1833"/>
    </row>
    <row r="9" spans="1:12" ht="12.75">
      <c r="A9" s="3103"/>
      <c r="B9" s="3029"/>
      <c r="C9" s="3134"/>
      <c r="D9" s="3121"/>
      <c r="E9" s="140" t="s">
        <v>2089</v>
      </c>
      <c r="F9" s="2427"/>
      <c r="G9" s="2427"/>
      <c r="H9" s="2427"/>
      <c r="I9" s="1833"/>
    </row>
    <row r="10" spans="1:12" ht="12.75">
      <c r="A10" s="3103" t="s">
        <v>2090</v>
      </c>
      <c r="B10" s="3029">
        <v>15</v>
      </c>
      <c r="C10" s="3133"/>
      <c r="D10" s="3121"/>
      <c r="E10" s="140" t="s">
        <v>2091</v>
      </c>
      <c r="F10" s="2427"/>
      <c r="G10" s="2427"/>
      <c r="H10" s="2427"/>
      <c r="I10" s="1833"/>
    </row>
    <row r="11" spans="1:12" ht="12.75">
      <c r="A11" s="3103"/>
      <c r="B11" s="3029"/>
      <c r="C11" s="3134"/>
      <c r="D11" s="3121"/>
      <c r="E11" s="140" t="s">
        <v>2092</v>
      </c>
      <c r="F11" s="2427"/>
      <c r="G11" s="2427"/>
      <c r="H11" s="2427"/>
      <c r="I11" s="1833"/>
    </row>
    <row r="12" spans="1:12" ht="12.75">
      <c r="A12" s="3103" t="s">
        <v>2093</v>
      </c>
      <c r="B12" s="3029">
        <v>15</v>
      </c>
      <c r="C12" s="3133"/>
      <c r="D12" s="3121"/>
      <c r="E12" s="140" t="s">
        <v>2094</v>
      </c>
      <c r="F12" s="2427"/>
      <c r="G12" s="2427"/>
      <c r="H12" s="2427"/>
      <c r="I12" s="1833"/>
    </row>
    <row r="13" spans="1:12" ht="12.75">
      <c r="A13" s="3103"/>
      <c r="B13" s="3029"/>
      <c r="C13" s="3134"/>
      <c r="D13" s="3121"/>
      <c r="E13" s="140" t="s">
        <v>2095</v>
      </c>
      <c r="F13" s="2427"/>
      <c r="G13" s="2427"/>
      <c r="H13" s="2427"/>
      <c r="I13" s="1833"/>
    </row>
    <row r="14" spans="1:12" ht="12.75">
      <c r="A14" s="3103" t="s">
        <v>2096</v>
      </c>
      <c r="B14" s="3029">
        <v>30</v>
      </c>
      <c r="C14" s="3133">
        <v>3</v>
      </c>
      <c r="D14" s="3121">
        <v>7</v>
      </c>
      <c r="E14" s="140" t="s">
        <v>2097</v>
      </c>
      <c r="F14" s="2427"/>
      <c r="G14" s="2427"/>
      <c r="H14" s="2427"/>
      <c r="I14" s="1833"/>
    </row>
    <row r="15" spans="1:12" ht="12.75">
      <c r="A15" s="3103"/>
      <c r="B15" s="3029"/>
      <c r="C15" s="3135"/>
      <c r="D15" s="3121"/>
      <c r="E15" s="140" t="s">
        <v>2098</v>
      </c>
      <c r="F15" s="2427"/>
      <c r="G15" s="2427"/>
      <c r="H15" s="2427"/>
      <c r="I15" s="1833"/>
    </row>
    <row r="16" spans="1:12" ht="12.75">
      <c r="A16" s="3103"/>
      <c r="B16" s="3029"/>
      <c r="C16" s="3134"/>
      <c r="D16" s="3121"/>
      <c r="E16" s="140" t="s">
        <v>2099</v>
      </c>
      <c r="F16" s="2427"/>
      <c r="G16" s="2427"/>
      <c r="H16" s="2427"/>
      <c r="I16" s="1833"/>
    </row>
    <row r="17" spans="1:35" ht="15">
      <c r="A17" s="2428" t="s">
        <v>2100</v>
      </c>
      <c r="B17" s="64"/>
      <c r="C17" s="141">
        <f>SUM(C5:C16)</f>
        <v>3</v>
      </c>
      <c r="D17" s="141">
        <f>SUM(D5:D16)</f>
        <v>7</v>
      </c>
      <c r="E17" s="138"/>
      <c r="F17" s="138"/>
      <c r="G17" s="138"/>
      <c r="H17" s="138"/>
      <c r="I17" s="138"/>
      <c r="K17" s="2426"/>
      <c r="L17" s="2429" t="s">
        <v>2101</v>
      </c>
      <c r="M17" s="2429" t="s">
        <v>2102</v>
      </c>
    </row>
    <row r="18" spans="1:35" ht="15.75" thickBot="1">
      <c r="A18" s="2430" t="s">
        <v>2103</v>
      </c>
      <c r="B18" s="2431"/>
      <c r="C18" s="142">
        <f>ROUND(C17/SUM(C17:D17),2)</f>
        <v>0.3</v>
      </c>
      <c r="D18" s="142">
        <f>1-C18</f>
        <v>0.7</v>
      </c>
      <c r="E18" s="138"/>
      <c r="F18" s="138"/>
      <c r="G18" s="138"/>
      <c r="H18" s="138"/>
      <c r="I18" s="138"/>
      <c r="K18" s="2426" t="s">
        <v>2104</v>
      </c>
      <c r="L18" s="2426">
        <f>IF(C1="",'数据-汇总表'!E3,SUMIF(项目类型,C1,'数据-汇总表'!E17:E26)+SUMIF(项目类型,C1,'数据-汇总表'!I17:I26))</f>
        <v>45029.380000000005</v>
      </c>
      <c r="M18" s="2426">
        <f>IF(C1="",'数据-汇总表'!E3,SUMIF(项目类型,C1,'数据-汇总表'!E17:E26))</f>
        <v>45029.380000000005</v>
      </c>
    </row>
    <row r="19" spans="1:35" ht="15">
      <c r="A19" s="2432" t="s">
        <v>2105</v>
      </c>
      <c r="B19" s="2433" t="s">
        <v>2106</v>
      </c>
      <c r="C19" s="143">
        <f ca="1">SUMIF(INDIRECT("'"&amp;C4&amp;"'"&amp;"!A:A"),结果表!B19,INDIRECT("'"&amp;C4&amp;"'"&amp;"!B:B"))</f>
        <v>12087</v>
      </c>
      <c r="D19" s="144">
        <f ca="1">SUMIF(INDIRECT("'"&amp;D4&amp;"'"&amp;"!A:A"),结果表!B19,INDIRECT("'"&amp;D4&amp;"'"&amp;"!B:B"))</f>
        <v>27765</v>
      </c>
      <c r="E19" s="2432" t="s">
        <v>2107</v>
      </c>
      <c r="F19" s="2433" t="s">
        <v>2106</v>
      </c>
      <c r="G19" s="145">
        <f ca="1">ROUND(C19*$C$18+D19*$D$18,0)</f>
        <v>23062</v>
      </c>
      <c r="H19" s="2434" t="s">
        <v>2108</v>
      </c>
      <c r="I19" s="138"/>
      <c r="K19" s="2426" t="s">
        <v>2109</v>
      </c>
      <c r="L19" s="2426">
        <f>IF(C1="",'数据-汇总表'!D3,SUMIF(项目类型,C1,'数据-汇总表'!D17:D26)+SUMIF(项目类型,C1,'数据-汇总表'!H17:H27))</f>
        <v>62946.5</v>
      </c>
      <c r="M19" s="2426">
        <f>IF(C1="",'数据-汇总表'!D3,SUMIF(项目类型,C1,'数据-汇总表'!D17:D26))</f>
        <v>62946.5</v>
      </c>
    </row>
    <row r="20" spans="1:35" ht="15">
      <c r="A20" s="2435"/>
      <c r="B20" s="1249" t="s">
        <v>2110</v>
      </c>
      <c r="C20" s="146">
        <f ca="1">SUMIF(INDIRECT("'"&amp;C4&amp;"'"&amp;"!A:A"),结果表!B20,INDIRECT("'"&amp;C4&amp;"'"&amp;"!B:B"))</f>
        <v>2754</v>
      </c>
      <c r="D20" s="147">
        <f ca="1">SUMIF(INDIRECT("'"&amp;D4&amp;"'"&amp;"!A:A"),结果表!B20,INDIRECT("'"&amp;D4&amp;"'"&amp;"!B:B"))</f>
        <v>6326</v>
      </c>
      <c r="E20" s="2435"/>
      <c r="F20" s="1249" t="s">
        <v>2110</v>
      </c>
      <c r="G20" s="148">
        <f ca="1">ROUND(C20*$C$18+D20*$D$18,0)</f>
        <v>5254</v>
      </c>
      <c r="H20" s="983" t="s">
        <v>2111</v>
      </c>
      <c r="I20" s="138"/>
    </row>
    <row r="21" spans="1:35" ht="15" customHeight="1" thickBot="1">
      <c r="A21" s="1003"/>
      <c r="B21" s="2436" t="s">
        <v>2112</v>
      </c>
      <c r="C21" s="789">
        <f ca="1">ROUND(C19*10000/L19,0)</f>
        <v>1920</v>
      </c>
      <c r="D21" s="790">
        <f ca="1">ROUND(D19*10000/L19,0)</f>
        <v>4411</v>
      </c>
      <c r="E21" s="1003"/>
      <c r="F21" s="2436" t="s">
        <v>2112</v>
      </c>
      <c r="G21" s="149">
        <f ca="1">ROUND(G19*10000/L19,0)</f>
        <v>3664</v>
      </c>
      <c r="H21" s="2437" t="s">
        <v>2111</v>
      </c>
      <c r="I21" s="138"/>
    </row>
    <row r="22" spans="1:35" ht="15" thickBot="1">
      <c r="A22" s="2280" t="s">
        <v>2113</v>
      </c>
      <c r="B22" s="2438"/>
      <c r="C22" s="2439"/>
      <c r="D22" s="791">
        <f ca="1">IF(C19&lt;D19,D19/C19-1,C19/D19-1)</f>
        <v>1.2970960536113179</v>
      </c>
      <c r="E22" s="138"/>
      <c r="F22" s="138"/>
      <c r="G22" s="138"/>
      <c r="H22" s="138"/>
      <c r="I22" s="138"/>
    </row>
    <row r="23" spans="1:35" ht="13.5" thickBot="1">
      <c r="A23" s="2416"/>
      <c r="B23" s="2416"/>
      <c r="C23" s="2416"/>
      <c r="D23" s="2416"/>
      <c r="E23" s="138"/>
      <c r="F23" s="138"/>
      <c r="G23" s="138"/>
      <c r="H23" s="138"/>
      <c r="I23" s="138"/>
    </row>
    <row r="24" spans="1:35" ht="14.25">
      <c r="A24" s="3142" t="s">
        <v>2114</v>
      </c>
      <c r="B24" s="2433" t="s">
        <v>2106</v>
      </c>
      <c r="C24" s="145">
        <f>IF(B30=0,0,D30)</f>
        <v>0</v>
      </c>
      <c r="D24" s="2440"/>
      <c r="E24" s="138"/>
      <c r="F24" s="138"/>
      <c r="G24" s="138"/>
      <c r="H24" s="138"/>
      <c r="I24" s="138"/>
    </row>
    <row r="25" spans="1:35" ht="14.25">
      <c r="A25" s="3143"/>
      <c r="B25" s="1249" t="s">
        <v>2110</v>
      </c>
      <c r="C25" s="150">
        <f>IF(B30=0,0,C30)</f>
        <v>0</v>
      </c>
      <c r="D25" s="2441"/>
      <c r="E25" s="138"/>
      <c r="F25" s="138"/>
      <c r="G25" s="138"/>
      <c r="H25" s="138"/>
      <c r="I25" s="138"/>
    </row>
    <row r="26" spans="1:35" ht="13.5" customHeight="1">
      <c r="A26" s="2442" t="s">
        <v>2115</v>
      </c>
      <c r="B26" s="151" t="s">
        <v>2116</v>
      </c>
      <c r="C26" s="151" t="s">
        <v>2117</v>
      </c>
      <c r="D26" s="152" t="s">
        <v>2118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2119</v>
      </c>
      <c r="B30" s="151"/>
      <c r="C30" s="151"/>
      <c r="D30" s="151"/>
      <c r="E30" s="2925" t="s">
        <v>2993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2120</v>
      </c>
      <c r="B32" s="2446"/>
      <c r="C32" s="153">
        <f ca="1">IF(D32="总价",G19-C24,G20-C25)</f>
        <v>23062</v>
      </c>
      <c r="D32" s="2447" t="s">
        <v>2121</v>
      </c>
      <c r="E32" s="138"/>
      <c r="F32" s="138"/>
      <c r="G32" s="138"/>
      <c r="H32" s="138"/>
      <c r="I32" s="138"/>
    </row>
    <row r="33" spans="1:15" ht="15">
      <c r="A33" s="960" t="s">
        <v>2122</v>
      </c>
      <c r="B33" s="2448"/>
      <c r="C33" s="2449" t="s">
        <v>3214</v>
      </c>
      <c r="D33" s="2450" t="s">
        <v>3167</v>
      </c>
      <c r="E33" s="2451" t="s">
        <v>2123</v>
      </c>
      <c r="F33" s="2452" t="str">
        <f>IF(D32="楼面单价","取值（单价）","取值（总价）")</f>
        <v>取值（总价）</v>
      </c>
      <c r="G33" s="138"/>
      <c r="H33" s="138"/>
      <c r="I33" s="138"/>
    </row>
    <row r="34" spans="1:15" ht="15">
      <c r="A34" s="2453"/>
      <c r="B34" s="2454" t="s">
        <v>2124</v>
      </c>
      <c r="C34" s="157">
        <f ca="1">IF(C33="自定义",F34,C32-C35)</f>
        <v>6757</v>
      </c>
      <c r="D34" s="1057">
        <f ca="1">IF(C33="自定义",ROUND(C34/C32,3),IF(C33="收益比率",SUMIF(INDIRECT("'"&amp;D33&amp;"'"&amp;"!b:b"),"土地收益比率",INDIRECT("'"&amp;D33&amp;"'"&amp;"!c:c")),SUMIF(INDIRECT("'"&amp;D33&amp;"'"&amp;"!b:b"),"土地成本比率",INDIRECT("'"&amp;D33&amp;"'"&amp;"!c:c"))))</f>
        <v>0.29300000000000004</v>
      </c>
      <c r="E34" s="2455" t="s">
        <v>2125</v>
      </c>
      <c r="F34" s="1738"/>
      <c r="G34" s="138"/>
      <c r="H34" s="138"/>
      <c r="I34" s="138"/>
    </row>
    <row r="35" spans="1:15" ht="15.75" thickBot="1">
      <c r="A35" s="2456"/>
      <c r="B35" s="2457" t="s">
        <v>2126</v>
      </c>
      <c r="C35" s="1443">
        <f ca="1">IF(C33="自定义",F35,ROUND(C32*D35,0))</f>
        <v>16305</v>
      </c>
      <c r="D35" s="1444">
        <f ca="1">IF(C33="自定义",ROUND(C35/C32,3),IF(C33="收益比率",SUMIF(INDIRECT("'"&amp;D33&amp;"'"&amp;"!b:b"),"建筑物收益比率",INDIRECT("'"&amp;D33&amp;"'"&amp;"!c:c")),SUMIF(INDIRECT("'"&amp;D33&amp;"'"&amp;"!b:b"),"建筑物成本比率",INDIRECT("'"&amp;D33&amp;"'"&amp;"!c:c"))))</f>
        <v>0.70699999999999996</v>
      </c>
      <c r="E35" s="2458" t="s">
        <v>2127</v>
      </c>
      <c r="F35" s="163"/>
      <c r="G35" s="138"/>
      <c r="H35" s="138"/>
      <c r="I35" s="138"/>
    </row>
    <row r="36" spans="1:15" ht="15.75" thickBot="1">
      <c r="A36" s="3122" t="s">
        <v>2128</v>
      </c>
      <c r="B36" s="2459" t="s">
        <v>2129</v>
      </c>
      <c r="C36" s="154"/>
      <c r="D36" s="2460"/>
      <c r="E36" s="2461"/>
      <c r="F36" s="2462"/>
      <c r="G36" s="138"/>
      <c r="H36" s="138"/>
      <c r="I36" s="138"/>
    </row>
    <row r="37" spans="1:15" ht="15.75" thickBot="1">
      <c r="A37" s="3123"/>
      <c r="B37" s="2266" t="s">
        <v>2130</v>
      </c>
      <c r="C37" s="156"/>
      <c r="D37" s="1394"/>
      <c r="E37" s="1394"/>
      <c r="F37" s="2462"/>
      <c r="G37" s="138"/>
      <c r="H37" s="138"/>
      <c r="I37" s="138"/>
    </row>
    <row r="38" spans="1:15" ht="15.75" thickBot="1">
      <c r="A38" s="3124"/>
      <c r="B38" s="2463" t="s">
        <v>2131</v>
      </c>
      <c r="C38" s="727"/>
      <c r="D38" s="2464" t="s">
        <v>2132</v>
      </c>
      <c r="E38" s="1394"/>
      <c r="F38" s="2462"/>
      <c r="G38" s="138"/>
      <c r="H38" s="138"/>
      <c r="I38" s="138"/>
    </row>
    <row r="39" spans="1:15" ht="15">
      <c r="A39" s="2435" t="s">
        <v>2133</v>
      </c>
      <c r="B39" s="2465" t="s">
        <v>2134</v>
      </c>
      <c r="C39" s="2466" t="s">
        <v>2135</v>
      </c>
      <c r="D39" s="2466" t="s">
        <v>2136</v>
      </c>
      <c r="E39" s="2467" t="s">
        <v>2137</v>
      </c>
      <c r="F39" s="2462"/>
      <c r="G39" s="138"/>
      <c r="H39" s="138"/>
      <c r="I39" s="138"/>
    </row>
    <row r="40" spans="1:15" ht="14.25">
      <c r="A40" s="2468" t="s">
        <v>2138</v>
      </c>
      <c r="B40" s="158"/>
      <c r="C40" s="159"/>
      <c r="D40" s="159"/>
      <c r="E40" s="160"/>
      <c r="F40" s="2462"/>
      <c r="G40" s="138"/>
      <c r="H40" s="138"/>
      <c r="I40" s="138"/>
    </row>
    <row r="41" spans="1:15" ht="14.25">
      <c r="A41" s="2468" t="s">
        <v>2139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2140</v>
      </c>
      <c r="B44" s="2473"/>
      <c r="C44" s="2473"/>
      <c r="D44" s="2474"/>
      <c r="E44" s="2474"/>
      <c r="F44" s="2475"/>
      <c r="G44" s="2475"/>
      <c r="H44" s="2475"/>
      <c r="I44" s="2475"/>
      <c r="J44" s="2476" t="s">
        <v>2141</v>
      </c>
      <c r="K44" s="2477"/>
      <c r="L44" s="2477"/>
      <c r="M44" s="2477"/>
      <c r="N44" s="2477"/>
      <c r="O44" s="2477"/>
    </row>
    <row r="45" spans="1:15" ht="14.25" customHeight="1" thickBot="1">
      <c r="A45" s="3139" t="s">
        <v>2142</v>
      </c>
      <c r="B45" s="3140"/>
      <c r="C45" s="3141"/>
      <c r="D45" s="164">
        <f ca="1">ROUND(H101*F45,0)</f>
        <v>23062</v>
      </c>
      <c r="E45" s="165" t="s">
        <v>2143</v>
      </c>
      <c r="F45" s="166">
        <v>1</v>
      </c>
      <c r="G45" s="167" t="s">
        <v>2144</v>
      </c>
      <c r="H45" s="138"/>
      <c r="I45" s="138"/>
      <c r="J45" s="3058" t="s">
        <v>2145</v>
      </c>
      <c r="K45" s="3058"/>
      <c r="L45" s="3058"/>
      <c r="M45" s="3058"/>
      <c r="N45" s="3058"/>
      <c r="O45" s="3058"/>
    </row>
    <row r="46" spans="1:15" ht="14.25" customHeight="1">
      <c r="A46" s="3136" t="s">
        <v>2146</v>
      </c>
      <c r="B46" s="3137"/>
      <c r="C46" s="3137"/>
      <c r="D46" s="3137"/>
      <c r="E46" s="3137"/>
      <c r="F46" s="3137"/>
      <c r="G46" s="3138"/>
      <c r="H46" s="2478"/>
      <c r="I46" s="168"/>
      <c r="J46" s="1811">
        <v>1</v>
      </c>
      <c r="K46" s="3058" t="s">
        <v>2147</v>
      </c>
      <c r="L46" s="3058"/>
      <c r="M46" s="3059"/>
      <c r="N46" s="3059"/>
      <c r="O46" s="3059"/>
    </row>
    <row r="47" spans="1:15" ht="12" customHeight="1">
      <c r="A47" s="169" t="s">
        <v>2148</v>
      </c>
      <c r="B47" s="170"/>
      <c r="C47" s="171"/>
      <c r="D47" s="172" t="s">
        <v>2149</v>
      </c>
      <c r="E47" s="24" t="s">
        <v>2150</v>
      </c>
      <c r="F47" s="173" t="s">
        <v>2151</v>
      </c>
      <c r="G47" s="174" t="s">
        <v>2152</v>
      </c>
      <c r="H47" s="2478"/>
      <c r="I47" s="168"/>
      <c r="J47" s="1811">
        <v>2</v>
      </c>
      <c r="K47" s="3058" t="s">
        <v>2153</v>
      </c>
      <c r="L47" s="3058"/>
      <c r="M47" s="3060">
        <f>'数据-取费表'!B2</f>
        <v>43245</v>
      </c>
      <c r="N47" s="3060"/>
      <c r="O47" s="3060"/>
    </row>
    <row r="48" spans="1:15" ht="25.5">
      <c r="A48" s="3126" t="s">
        <v>2154</v>
      </c>
      <c r="B48" s="3127"/>
      <c r="C48" s="3127"/>
      <c r="D48" s="140">
        <f ca="1">IF(H48="情况1",0,IF(H48="情况2",D52,IF(H48="情况3",D53,IF(H48="情况4",D54))))</f>
        <v>1230</v>
      </c>
      <c r="E48" s="1800" t="str">
        <f>IF(H48="情况4","(销售额-原购置价)×税（费）率","销售额×税（费）率")</f>
        <v>(销售额-原购置价)×税（费）率</v>
      </c>
      <c r="F48" s="175">
        <f>IF(H48="情况1","免征",'数据-取费表'!B41)</f>
        <v>5.6000000000000001E-2</v>
      </c>
      <c r="G48" s="2479" t="s">
        <v>2155</v>
      </c>
      <c r="H48" s="2480" t="s">
        <v>3211</v>
      </c>
      <c r="I48" s="2478"/>
      <c r="J48" s="1811">
        <v>3</v>
      </c>
      <c r="K48" s="3058" t="s">
        <v>2156</v>
      </c>
      <c r="L48" s="3058"/>
      <c r="M48" s="3061">
        <f ca="1">H101</f>
        <v>23062</v>
      </c>
      <c r="N48" s="3061"/>
      <c r="O48" s="3061"/>
    </row>
    <row r="49" spans="1:35" ht="25.5" customHeight="1">
      <c r="A49" s="176" t="s">
        <v>2157</v>
      </c>
      <c r="B49" s="3106" t="s">
        <v>2158</v>
      </c>
      <c r="C49" s="3106"/>
      <c r="D49" s="177">
        <v>0</v>
      </c>
      <c r="E49" s="23" t="s">
        <v>2159</v>
      </c>
      <c r="F49" s="28" t="s">
        <v>33</v>
      </c>
      <c r="G49" s="3087"/>
      <c r="H49" s="138"/>
      <c r="I49" s="2481"/>
      <c r="J49" s="1811">
        <v>4</v>
      </c>
      <c r="K49" s="3058" t="str">
        <f>IF(项目基本情况!E8="房地产抵押价值","房地产抵押价值","抵押担保权已注销时的房地产抵押价值")</f>
        <v>房地产抵押价值</v>
      </c>
      <c r="L49" s="3058"/>
      <c r="M49" s="3061">
        <f ca="1">IF(项目基本情况!E8="房地产抵押价值",H107,H109)</f>
        <v>23062</v>
      </c>
      <c r="N49" s="3061"/>
      <c r="O49" s="3061"/>
    </row>
    <row r="50" spans="1:35" ht="25.5" customHeight="1">
      <c r="A50" s="178"/>
      <c r="B50" s="3106" t="s">
        <v>2160</v>
      </c>
      <c r="C50" s="3106"/>
      <c r="D50" s="179"/>
      <c r="E50" s="31"/>
      <c r="F50" s="180"/>
      <c r="G50" s="3088"/>
      <c r="H50" s="138"/>
      <c r="I50" s="2481"/>
      <c r="J50" s="3058" t="s">
        <v>2161</v>
      </c>
      <c r="K50" s="3058"/>
      <c r="L50" s="3058"/>
      <c r="M50" s="3058"/>
      <c r="N50" s="3058"/>
      <c r="O50" s="3058"/>
    </row>
    <row r="51" spans="1:35" ht="12" customHeight="1">
      <c r="A51" s="181"/>
      <c r="B51" s="3106" t="s">
        <v>2162</v>
      </c>
      <c r="C51" s="3106"/>
      <c r="D51" s="182"/>
      <c r="E51" s="30"/>
      <c r="F51" s="180"/>
      <c r="G51" s="3089"/>
      <c r="H51" s="138"/>
      <c r="I51" s="2481"/>
      <c r="J51" s="2482" t="s">
        <v>2163</v>
      </c>
      <c r="K51" s="3058" t="s">
        <v>2164</v>
      </c>
      <c r="L51" s="3058"/>
      <c r="M51" s="2482" t="s">
        <v>2165</v>
      </c>
      <c r="N51" s="2482" t="s">
        <v>2166</v>
      </c>
      <c r="O51" s="2482" t="s">
        <v>2167</v>
      </c>
    </row>
    <row r="52" spans="1:35" ht="24" customHeight="1">
      <c r="A52" s="183" t="s">
        <v>2168</v>
      </c>
      <c r="B52" s="3106" t="s">
        <v>2169</v>
      </c>
      <c r="C52" s="3106"/>
      <c r="D52" s="182">
        <f ca="1">ROUND(D45*'数据-取费表'!B41/(1+'数据-取费表'!C42),0)</f>
        <v>1230</v>
      </c>
      <c r="E52" s="11" t="s">
        <v>2170</v>
      </c>
      <c r="F52" s="184">
        <f>'数据-取费表'!B41</f>
        <v>5.6000000000000001E-2</v>
      </c>
      <c r="G52" s="2483"/>
      <c r="H52" s="138"/>
      <c r="I52" s="2481"/>
      <c r="J52" s="1811">
        <v>1</v>
      </c>
      <c r="K52" s="3081" t="s">
        <v>2171</v>
      </c>
      <c r="L52" s="3081"/>
      <c r="M52" s="1753">
        <f ca="1">D48</f>
        <v>1230</v>
      </c>
      <c r="N52" s="1811" t="str">
        <f>E48</f>
        <v>(销售额-原购置价)×税（费）率</v>
      </c>
      <c r="O52" s="1754">
        <f>F48</f>
        <v>5.6000000000000001E-2</v>
      </c>
    </row>
    <row r="53" spans="1:35" ht="12" customHeight="1">
      <c r="A53" s="183" t="s">
        <v>2172</v>
      </c>
      <c r="B53" s="3107" t="s">
        <v>2173</v>
      </c>
      <c r="C53" s="3108"/>
      <c r="D53" s="182">
        <f ca="1">ROUND(D45*'数据-取费表'!B41/(1+'数据-取费表'!C42),0)</f>
        <v>1230</v>
      </c>
      <c r="E53" s="11" t="s">
        <v>2170</v>
      </c>
      <c r="F53" s="184">
        <f>'数据-取费表'!B41</f>
        <v>5.6000000000000001E-2</v>
      </c>
      <c r="G53" s="2483"/>
      <c r="H53" s="138"/>
      <c r="I53" s="2481"/>
      <c r="J53" s="1811">
        <v>2</v>
      </c>
      <c r="K53" s="3081" t="s">
        <v>2174</v>
      </c>
      <c r="L53" s="3081"/>
      <c r="M53" s="1753">
        <f t="shared" ref="M53:O54" ca="1" si="0">D55</f>
        <v>12</v>
      </c>
      <c r="N53" s="1811" t="str">
        <f t="shared" si="0"/>
        <v>销售额×税（费）率</v>
      </c>
      <c r="O53" s="1754">
        <f t="shared" si="0"/>
        <v>5.0000000000000001E-4</v>
      </c>
    </row>
    <row r="54" spans="1:35" ht="12" customHeight="1">
      <c r="A54" s="183" t="s">
        <v>2175</v>
      </c>
      <c r="B54" s="3107" t="s">
        <v>2176</v>
      </c>
      <c r="C54" s="3108"/>
      <c r="D54" s="182">
        <f ca="1">C68</f>
        <v>1230</v>
      </c>
      <c r="E54" s="30" t="s">
        <v>2177</v>
      </c>
      <c r="F54" s="184">
        <f>'数据-取费表'!B41</f>
        <v>5.6000000000000001E-2</v>
      </c>
      <c r="G54" s="2483"/>
      <c r="H54" s="2484"/>
      <c r="I54" s="2481"/>
      <c r="J54" s="1811">
        <v>3</v>
      </c>
      <c r="K54" s="3081" t="s">
        <v>2178</v>
      </c>
      <c r="L54" s="3081"/>
      <c r="M54" s="1753">
        <f t="shared" ca="1" si="0"/>
        <v>158</v>
      </c>
      <c r="N54" s="1811" t="str">
        <f t="shared" si="0"/>
        <v>增值额×税（费）率</v>
      </c>
      <c r="O54" s="1755" t="str">
        <f t="shared" si="0"/>
        <v>——</v>
      </c>
    </row>
    <row r="55" spans="1:35" ht="24" customHeight="1">
      <c r="A55" s="3145" t="s">
        <v>2179</v>
      </c>
      <c r="B55" s="3127"/>
      <c r="C55" s="3127"/>
      <c r="D55" s="185">
        <f ca="1">IF(H55="个人住宅",0,ROUND(D45*I55,0))</f>
        <v>12</v>
      </c>
      <c r="E55" s="11" t="s">
        <v>2180</v>
      </c>
      <c r="F55" s="184">
        <f>IF(H55="正常",I55,"免征")</f>
        <v>5.0000000000000001E-4</v>
      </c>
      <c r="G55" s="2483"/>
      <c r="H55" s="2480" t="s">
        <v>2181</v>
      </c>
      <c r="I55" s="186">
        <f>'数据-取费表'!B49</f>
        <v>5.0000000000000001E-4</v>
      </c>
      <c r="J55" s="1811" t="str">
        <f>IF(H59="非个人房产","",4)</f>
        <v/>
      </c>
      <c r="K55" s="3081" t="str">
        <f>IF(H59="非个人房产","——","个人所得税")</f>
        <v>——</v>
      </c>
      <c r="L55" s="3081"/>
      <c r="M55" s="1756" t="str">
        <f>D59</f>
        <v>——</v>
      </c>
      <c r="N55" s="1809" t="str">
        <f>E59</f>
        <v>——</v>
      </c>
      <c r="O55" s="1757" t="str">
        <f>F59</f>
        <v>——</v>
      </c>
    </row>
    <row r="56" spans="1:35" ht="24.75">
      <c r="A56" s="3145" t="s">
        <v>2182</v>
      </c>
      <c r="B56" s="3127"/>
      <c r="C56" s="3127"/>
      <c r="D56" s="185">
        <f ca="1">IF(H56="个人住宅",D57,D58)</f>
        <v>158</v>
      </c>
      <c r="E56" s="11" t="s">
        <v>2183</v>
      </c>
      <c r="F56" s="184" t="str">
        <f>IF(H56="正常",F58,"免征")</f>
        <v>——</v>
      </c>
      <c r="G56" s="2485" t="s">
        <v>2184</v>
      </c>
      <c r="H56" s="2486" t="s">
        <v>2181</v>
      </c>
      <c r="I56" s="2487"/>
      <c r="J56" s="1811" t="str">
        <f>IF(项目基本情况!K6="上海银行",IF(J55="",4,J55+1),"")</f>
        <v/>
      </c>
      <c r="K56" s="3064" t="str">
        <f>IF(项目基本情况!K6="上海银行","其他处置费用","")</f>
        <v/>
      </c>
      <c r="L56" s="3065"/>
      <c r="M56" s="1753" t="str">
        <f>IF(项目基本情况!K6="上海银行",M69,"")</f>
        <v/>
      </c>
      <c r="N56" s="3067" t="str">
        <f>IF(项目基本情况!K6="上海银行","包含处置中涉及的律师、诉讼、拍卖、评估等费用","")</f>
        <v/>
      </c>
      <c r="O56" s="3068"/>
    </row>
    <row r="57" spans="1:35" ht="12.75">
      <c r="A57" s="183" t="s">
        <v>2157</v>
      </c>
      <c r="B57" s="3112" t="s">
        <v>2185</v>
      </c>
      <c r="C57" s="3113"/>
      <c r="D57" s="187">
        <v>0</v>
      </c>
      <c r="E57" s="23" t="s">
        <v>2159</v>
      </c>
      <c r="F57" s="155"/>
      <c r="G57" s="2483"/>
      <c r="H57" s="2487"/>
      <c r="I57" s="2487"/>
      <c r="J57" s="3081">
        <f>IF(AND(J55="",J56=""),4,IF(项目基本情况!K6="上海银行",结果表!J56+1,结果表!J55+1))</f>
        <v>4</v>
      </c>
      <c r="K57" s="3081" t="s">
        <v>2186</v>
      </c>
      <c r="L57" s="2488" t="s">
        <v>2187</v>
      </c>
      <c r="M57" s="1758"/>
      <c r="N57" s="1759">
        <f ca="1">SUMIF(M52:M56,"&lt;9e307")</f>
        <v>1400</v>
      </c>
      <c r="O57" s="2489"/>
      <c r="P57" s="1752">
        <f ca="1">N57/M49</f>
        <v>6.0705923163645821E-2</v>
      </c>
    </row>
    <row r="58" spans="1:35" ht="24.75">
      <c r="A58" s="183" t="s">
        <v>2168</v>
      </c>
      <c r="B58" s="3112" t="s">
        <v>2188</v>
      </c>
      <c r="C58" s="3125"/>
      <c r="D58" s="185">
        <f ca="1">IF(H58="转让取得",C81,C97)</f>
        <v>158</v>
      </c>
      <c r="E58" s="11" t="s">
        <v>2183</v>
      </c>
      <c r="F58" s="24" t="s">
        <v>33</v>
      </c>
      <c r="G58" s="2483"/>
      <c r="H58" s="2486" t="s">
        <v>3212</v>
      </c>
      <c r="I58" s="2487"/>
      <c r="J58" s="3081"/>
      <c r="K58" s="3081"/>
      <c r="L58" s="2488" t="s">
        <v>2189</v>
      </c>
      <c r="M58" s="1760"/>
      <c r="N58" s="2490" t="str">
        <f ca="1">NUMBERSTRING(INT(N57*10000),2)&amp;"元整"</f>
        <v>壹仟肆佰万元整</v>
      </c>
      <c r="O58" s="2491"/>
    </row>
    <row r="59" spans="1:35" ht="24.75" thickBot="1">
      <c r="A59" s="3085" t="s">
        <v>2190</v>
      </c>
      <c r="B59" s="3086"/>
      <c r="C59" s="3086"/>
      <c r="D59" s="188" t="str">
        <f>IF(H59="非个人房产","——",IF(H59="个人住宅",0,ROUND(D45*I59,0)))</f>
        <v>——</v>
      </c>
      <c r="E59" s="189" t="str">
        <f>IF(H59="非个人房产","——","销售额×税（费）率")</f>
        <v>——</v>
      </c>
      <c r="F59" s="190" t="str">
        <f>IF(H59="非个人房产","——",IF(H59="个人住宅","免征",I59))</f>
        <v>——</v>
      </c>
      <c r="G59" s="2492" t="s">
        <v>2184</v>
      </c>
      <c r="H59" s="2486" t="s">
        <v>2191</v>
      </c>
      <c r="I59" s="191">
        <v>0.01</v>
      </c>
      <c r="J59" s="3083">
        <f>J57+1</f>
        <v>5</v>
      </c>
      <c r="K59" s="3081" t="s">
        <v>2192</v>
      </c>
      <c r="L59" s="1811" t="s">
        <v>2187</v>
      </c>
      <c r="M59" s="1761"/>
      <c r="N59" s="1762">
        <f ca="1">M49-N57</f>
        <v>21662</v>
      </c>
      <c r="O59" s="2493"/>
    </row>
    <row r="60" spans="1:35" ht="12" customHeight="1">
      <c r="A60" s="2494"/>
      <c r="B60" s="2416"/>
      <c r="C60" s="2416"/>
      <c r="D60" s="2416"/>
      <c r="E60" s="2165"/>
      <c r="F60" s="2487"/>
      <c r="G60" s="2487"/>
      <c r="H60" s="2495"/>
      <c r="I60" s="138"/>
      <c r="J60" s="3084"/>
      <c r="K60" s="3081"/>
      <c r="L60" s="2488" t="s">
        <v>2189</v>
      </c>
      <c r="M60" s="1760"/>
      <c r="N60" s="2490" t="str">
        <f ca="1">NUMBERSTRING(INT(N59*10000),2)&amp;"元整"</f>
        <v>贰亿壹仟陆佰陆拾贰万元整</v>
      </c>
      <c r="O60" s="2491"/>
    </row>
    <row r="61" spans="1:35" ht="13.5" thickBot="1">
      <c r="A61" s="3144" t="s">
        <v>2193</v>
      </c>
      <c r="B61" s="3144"/>
      <c r="C61" s="3144"/>
      <c r="D61" s="3144"/>
      <c r="E61" s="3144"/>
      <c r="F61" s="2487"/>
      <c r="G61" s="2487"/>
      <c r="H61" s="2495"/>
      <c r="I61" s="138"/>
      <c r="J61" s="1811">
        <f>J59+1</f>
        <v>6</v>
      </c>
      <c r="K61" s="3081" t="s">
        <v>2194</v>
      </c>
      <c r="L61" s="3081"/>
      <c r="M61" s="1763"/>
      <c r="N61" s="1764">
        <f ca="1">ROUND(N59*10000/'数据-汇总表'!E3,0)</f>
        <v>4811</v>
      </c>
      <c r="O61" s="2496"/>
    </row>
    <row r="62" spans="1:35" ht="12.75">
      <c r="A62" s="3101" t="s">
        <v>2195</v>
      </c>
      <c r="B62" s="3102"/>
      <c r="C62" s="1803"/>
      <c r="D62" s="1803" t="s">
        <v>2196</v>
      </c>
      <c r="E62" s="192" t="s">
        <v>2197</v>
      </c>
      <c r="F62" s="2487"/>
      <c r="G62" s="2487"/>
      <c r="H62" s="2495"/>
      <c r="I62" s="138"/>
    </row>
    <row r="63" spans="1:35" ht="12.75">
      <c r="A63" s="203" t="s">
        <v>774</v>
      </c>
      <c r="B63" s="193" t="s">
        <v>2198</v>
      </c>
      <c r="C63" s="194">
        <f ca="1">ROUND((C64+C65)/(1+'数据-取费表'!C42),0)</f>
        <v>21964</v>
      </c>
      <c r="D63" s="195"/>
      <c r="E63" s="196"/>
      <c r="F63" s="2487"/>
      <c r="G63" s="2487"/>
      <c r="H63" s="2495"/>
      <c r="I63" s="138"/>
      <c r="J63" s="3066" t="s">
        <v>2199</v>
      </c>
      <c r="K63" s="2497" t="s">
        <v>2200</v>
      </c>
      <c r="L63" s="1751">
        <f ca="1">IF(M49&gt;10000,M49*0.5%,IF(AND(M49&gt;1000,M49&lt;=10000),M49*1%,IF(AND(M49&gt;100,M49&lt;=1000),M49*3%,IF(AND(M49&gt;10,M49&lt;=100),M49*5%,M49*8%))))</f>
        <v>115.31</v>
      </c>
      <c r="M63" s="24">
        <f ca="1">ROUND(L63,1)</f>
        <v>115.3</v>
      </c>
      <c r="Z63" s="2421"/>
      <c r="AI63" s="2422"/>
    </row>
    <row r="64" spans="1:35" ht="14.25" customHeight="1">
      <c r="A64" s="197" t="s">
        <v>769</v>
      </c>
      <c r="B64" s="198" t="s">
        <v>2201</v>
      </c>
      <c r="C64" s="199">
        <f ca="1">D45</f>
        <v>23062</v>
      </c>
      <c r="D64" s="200" t="s">
        <v>31</v>
      </c>
      <c r="E64" s="201"/>
      <c r="F64" s="2487"/>
      <c r="G64" s="2487"/>
      <c r="H64" s="2495"/>
      <c r="I64" s="138"/>
      <c r="J64" s="3066"/>
      <c r="K64" s="2497" t="s">
        <v>2202</v>
      </c>
      <c r="L64" s="1751">
        <f ca="1">IF(M49&gt;2000,M49*0.5%,IF(AND(M49&gt;1000,M49&lt;=2000),M49*0.6%,IF(AND(M49&gt;500,M49&lt;=1000),M49*0.7%,IF(AND(M49&gt;200,M49&lt;=500),M49*0.8%,IF(AND(M49&gt;100,M49&lt;=200),M49*0.9%,IF(AND(M49&gt;50,M49&lt;=100),M49*1%,IF(AND(M49&gt;20,M49&lt;=50),M49*1.5%,IF(AND(M49&gt;10,M49&lt;=20),M49*2%,IF(AND(M49&gt;1,M49&lt;=10),M49*2.5%)))))))))</f>
        <v>115.31</v>
      </c>
      <c r="M64" s="24">
        <f t="shared" ref="M64:M65" ca="1" si="1">ROUND(L64,1)</f>
        <v>115.3</v>
      </c>
      <c r="N64" s="138" t="s">
        <v>2203</v>
      </c>
      <c r="Z64" s="2421"/>
      <c r="AI64" s="2422"/>
    </row>
    <row r="65" spans="1:35" ht="14.25" customHeight="1">
      <c r="A65" s="197" t="s">
        <v>770</v>
      </c>
      <c r="B65" s="198" t="s">
        <v>2204</v>
      </c>
      <c r="C65" s="202"/>
      <c r="D65" s="200"/>
      <c r="E65" s="201"/>
      <c r="F65" s="2487"/>
      <c r="G65" s="2487"/>
      <c r="H65" s="2495"/>
      <c r="I65" s="138"/>
      <c r="J65" s="3066"/>
      <c r="K65" s="2497" t="s">
        <v>2205</v>
      </c>
      <c r="L65" s="1751">
        <f ca="1">IF(M49&gt;1000,M49*0.1%,IF(AND(M49&gt;500,M49&lt;=1000),M49*0.5%,IF(AND(M49&gt;50,M49&lt;=500),M49*1%,IF(AND(M49&gt;1,M49&lt;=50),M49*1.5%))))</f>
        <v>23.062000000000001</v>
      </c>
      <c r="M65" s="24">
        <f t="shared" ca="1" si="1"/>
        <v>23.1</v>
      </c>
      <c r="N65" s="138" t="s">
        <v>2203</v>
      </c>
      <c r="Z65" s="2421"/>
      <c r="AI65" s="2422"/>
    </row>
    <row r="66" spans="1:35" ht="14.25" customHeight="1">
      <c r="A66" s="203" t="s">
        <v>771</v>
      </c>
      <c r="B66" s="204" t="s">
        <v>2206</v>
      </c>
      <c r="C66" s="205"/>
      <c r="D66" s="206" t="s">
        <v>31</v>
      </c>
      <c r="E66" s="1775" t="s">
        <v>1370</v>
      </c>
      <c r="F66" s="2487"/>
      <c r="G66" s="2487"/>
      <c r="H66" s="2495"/>
      <c r="I66" s="138"/>
      <c r="J66" s="3066"/>
      <c r="K66" s="2497" t="s">
        <v>2207</v>
      </c>
      <c r="L66" s="1751">
        <f ca="1">M49*0.5%</f>
        <v>115.31</v>
      </c>
      <c r="M66" s="24">
        <f ca="1">IF(L66&gt;0.5,0.5,ROUND(L66,0))</f>
        <v>0.5</v>
      </c>
      <c r="N66" s="138" t="s">
        <v>2208</v>
      </c>
      <c r="Z66" s="2421"/>
      <c r="AI66" s="2422"/>
    </row>
    <row r="67" spans="1:35" ht="14.25" customHeight="1">
      <c r="A67" s="203" t="s">
        <v>772</v>
      </c>
      <c r="B67" s="204" t="s">
        <v>2209</v>
      </c>
      <c r="C67" s="207">
        <f ca="1">C63-C66</f>
        <v>21964</v>
      </c>
      <c r="D67" s="200" t="s">
        <v>31</v>
      </c>
      <c r="E67" s="201"/>
      <c r="F67" s="2487"/>
      <c r="G67" s="2487"/>
      <c r="H67" s="2495"/>
      <c r="I67" s="138"/>
      <c r="J67" s="3066"/>
      <c r="K67" s="2497" t="s">
        <v>2210</v>
      </c>
      <c r="L67" s="1751">
        <f ca="1">IF(M49&gt;=10000,(8.25+(M49-10000)*0.01%),IF(AND(M49&gt;=8000,M49&lt;10000),(7.85+(M49-8000)*0.02%),IF(AND(M49&gt;=5000,M49&lt;8000),(6.65+(M49-5000)*0.04%),IF(AND(M49&gt;=2000,M49&lt;5000),(4.25+(PM49-2000)*0.08%),IF(AND(M49&gt;=1000,M49&lt;2000),(2.75+(M49-1000)*0.15%),IF(AND(M49&gt;=100,M49&lt;1000),(0.5+(M49-100)*0.25%),IF(AND(M49&gt;0,M49&lt;100),M49*0.5%)))))))</f>
        <v>9.5562000000000005</v>
      </c>
      <c r="M67" s="24">
        <f ca="1">ROUND(L67*0.9,1)</f>
        <v>8.6</v>
      </c>
      <c r="Z67" s="2421"/>
      <c r="AI67" s="2422"/>
    </row>
    <row r="68" spans="1:35" ht="14.25" customHeight="1" thickBot="1">
      <c r="A68" s="208" t="s">
        <v>773</v>
      </c>
      <c r="B68" s="209" t="s">
        <v>2211</v>
      </c>
      <c r="C68" s="210">
        <f ca="1">IF(C67&lt;=0,0,ROUND(C67*D68,0))</f>
        <v>1230</v>
      </c>
      <c r="D68" s="211">
        <f>'数据-取费表'!B41</f>
        <v>5.6000000000000001E-2</v>
      </c>
      <c r="E68" s="212"/>
      <c r="F68" s="2487"/>
      <c r="G68" s="2487"/>
      <c r="H68" s="2495"/>
      <c r="I68" s="138"/>
      <c r="J68" s="3066"/>
      <c r="K68" s="2497" t="s">
        <v>2212</v>
      </c>
      <c r="L68" s="1751">
        <f ca="1">IF(M49&gt;10000,M49*0.5%,IF(AND(M49&gt;5000,M49&lt;=10000),M49*1%,IF(AND(M49&gt;1000,M49&lt;=5000),M49*2%,IF(AND(M49&gt;200,M49&lt;=1000),M49*3%,M49*5%))))</f>
        <v>115.31</v>
      </c>
      <c r="M68" s="24">
        <f ca="1">ROUND(L68,1)</f>
        <v>115.3</v>
      </c>
      <c r="Z68" s="2421"/>
      <c r="AI68" s="2422"/>
    </row>
    <row r="69" spans="1:35" s="2444" customFormat="1" ht="16.5" customHeight="1">
      <c r="A69" s="2498"/>
      <c r="B69" s="2499"/>
      <c r="C69" s="2500"/>
      <c r="D69" s="2501"/>
      <c r="E69" s="2502"/>
      <c r="F69" s="2165"/>
      <c r="G69" s="2165"/>
      <c r="H69" s="2164"/>
      <c r="I69" s="2416"/>
      <c r="J69" s="3066"/>
      <c r="K69" s="2497" t="s">
        <v>2213</v>
      </c>
      <c r="L69" s="2503"/>
      <c r="M69" s="24">
        <f ca="1">ROUND(SUM(M63:M68),0)</f>
        <v>378</v>
      </c>
      <c r="N69" s="1752">
        <f ca="1">M69/M49</f>
        <v>1.6390599254184374E-2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0" t="s">
        <v>2214</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1" t="s">
        <v>2195</v>
      </c>
      <c r="B71" s="3102"/>
      <c r="C71" s="1803"/>
      <c r="D71" s="1803" t="s">
        <v>2196</v>
      </c>
      <c r="E71" s="213" t="s">
        <v>2197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774</v>
      </c>
      <c r="B72" s="204" t="s">
        <v>2215</v>
      </c>
      <c r="C72" s="207">
        <f ca="1">ROUND(D45/(1+'数据-取费表'!C42),0)</f>
        <v>21964</v>
      </c>
      <c r="D72" s="200" t="s">
        <v>31</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771</v>
      </c>
      <c r="B73" s="173" t="s">
        <v>2216</v>
      </c>
      <c r="C73" s="207">
        <f ca="1">C74+C78</f>
        <v>21437</v>
      </c>
      <c r="D73" s="200" t="s">
        <v>31</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2217</v>
      </c>
      <c r="C74" s="200">
        <f>ROUND(IF(G77="2016年5月1日后购买",C75/(1+'数据-取费表'!C42)+C76+C77,C75+C76+C77),0)</f>
        <v>21305</v>
      </c>
      <c r="D74" s="200" t="s">
        <v>31</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775</v>
      </c>
      <c r="B75" s="198" t="s">
        <v>2218</v>
      </c>
      <c r="C75" s="218">
        <v>21500</v>
      </c>
      <c r="D75" s="200" t="s">
        <v>31</v>
      </c>
      <c r="E75" s="219" t="s">
        <v>2219</v>
      </c>
      <c r="F75" s="2509" t="s">
        <v>2220</v>
      </c>
      <c r="G75" s="219" t="s">
        <v>2221</v>
      </c>
      <c r="H75" s="220">
        <v>0.8</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2222</v>
      </c>
      <c r="C76" s="200">
        <f>IF(F75="购房发票",ROUND(C75*H75*D76,0),0)</f>
        <v>0</v>
      </c>
      <c r="D76" s="222">
        <v>0.05</v>
      </c>
      <c r="E76" s="3107" t="s">
        <v>2223</v>
      </c>
      <c r="F76" s="3106"/>
      <c r="G76" s="3106"/>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2224</v>
      </c>
      <c r="C77" s="200">
        <f>ROUND(IF(G77="个人住宅",0,IF(G77="2016年5月1日前购买",C75*D77,C75*D77/(1+'数据-取费表'!C42))),0)</f>
        <v>829</v>
      </c>
      <c r="D77" s="223">
        <f>'数据-取费表'!B48+'数据-取费表'!B49</f>
        <v>4.0500000000000001E-2</v>
      </c>
      <c r="E77" s="15" t="s">
        <v>2225</v>
      </c>
      <c r="F77" s="224"/>
      <c r="G77" s="2511" t="s">
        <v>3210</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132</v>
      </c>
      <c r="D78" s="226">
        <f>'数据-取费表'!B43</f>
        <v>6.000000000000001E-3</v>
      </c>
      <c r="E78" s="3098" t="s">
        <v>2227</v>
      </c>
      <c r="F78" s="3099"/>
      <c r="G78" s="3099"/>
      <c r="H78" s="31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778</v>
      </c>
      <c r="B79" s="204" t="s">
        <v>2228</v>
      </c>
      <c r="C79" s="207">
        <f ca="1">C72-C73</f>
        <v>527</v>
      </c>
      <c r="D79" s="200" t="s">
        <v>31</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2.458366375892149E-2</v>
      </c>
      <c r="D80" s="200" t="s">
        <v>31</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780</v>
      </c>
      <c r="B81" s="209" t="s">
        <v>2230</v>
      </c>
      <c r="C81" s="228">
        <f ca="1">ROUND(IF(C79&lt;=0,0,IF(C80&gt;=200%,C79*60%-C73*35%,IF(C80&gt;=100%,C79*50%-C73*15%,IF(C80&gt;=50%,C79*40%-C73*5%,IF(C80&lt;50%,C79*30%,0))))),0)</f>
        <v>158</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0" t="s">
        <v>2231</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1" t="s">
        <v>2195</v>
      </c>
      <c r="B84" s="3102"/>
      <c r="C84" s="1803"/>
      <c r="D84" s="1803" t="s">
        <v>2196</v>
      </c>
      <c r="E84" s="213" t="s">
        <v>2197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774</v>
      </c>
      <c r="B85" s="204" t="s">
        <v>2215</v>
      </c>
      <c r="C85" s="207">
        <f ca="1">ROUND(D45/(1+'数据-取费表'!C42),0)</f>
        <v>21964</v>
      </c>
      <c r="D85" s="200" t="s">
        <v>31</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771</v>
      </c>
      <c r="B86" s="173" t="s">
        <v>2216</v>
      </c>
      <c r="C86" s="207">
        <f ca="1">IF(H88="仅含出让金",C87+C90+C91+C92+C93+C94,C87+C91+C92+C93+C94)</f>
        <v>132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769</v>
      </c>
      <c r="B87" s="198" t="s">
        <v>2232</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775</v>
      </c>
      <c r="B88" s="198" t="s">
        <v>2233</v>
      </c>
      <c r="C88" s="236"/>
      <c r="D88" s="226"/>
      <c r="E88" s="237" t="s">
        <v>2234</v>
      </c>
      <c r="F88" s="1799"/>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2224</v>
      </c>
      <c r="C89" s="225">
        <f>ROUND(C88*D89,0)</f>
        <v>0</v>
      </c>
      <c r="D89" s="226">
        <f>'数据-取费表'!B48+'数据-取费表'!B49</f>
        <v>4.0500000000000001E-2</v>
      </c>
      <c r="E89" s="237" t="s">
        <v>2236</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770</v>
      </c>
      <c r="B90" s="198" t="s">
        <v>2237</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098" t="s">
        <v>2240</v>
      </c>
      <c r="F91" s="3099"/>
      <c r="G91" s="3099"/>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098" t="s">
        <v>2244</v>
      </c>
      <c r="F92" s="3099"/>
      <c r="G92" s="3099"/>
      <c r="H92" s="31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132</v>
      </c>
      <c r="D93" s="226">
        <f>'数据-取费表'!B43</f>
        <v>6.000000000000001E-3</v>
      </c>
      <c r="E93" s="3098" t="s">
        <v>2227</v>
      </c>
      <c r="F93" s="3099"/>
      <c r="G93" s="3099"/>
      <c r="H93" s="31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146" t="s">
        <v>2248</v>
      </c>
      <c r="F94" s="3147"/>
      <c r="G94" s="3147"/>
      <c r="H94" s="31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778</v>
      </c>
      <c r="B95" s="204" t="s">
        <v>2228</v>
      </c>
      <c r="C95" s="207">
        <f ca="1">ROUND(C85-C86,0)</f>
        <v>21832</v>
      </c>
      <c r="D95" s="200" t="s">
        <v>31</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165.39393939393941</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780</v>
      </c>
      <c r="B97" s="209" t="s">
        <v>2230</v>
      </c>
      <c r="C97" s="228">
        <f ca="1">ROUND(IF(C95&lt;=0,0,IF(C96&gt;=200%,C95*60%-C86*35%,IF(C96&gt;=100%,C95*50%-C86*15%,IF(C96&gt;=50%,C95*40%-C86*5%,IF(C96&lt;50%,C95*30%,0))))),0)</f>
        <v>13053</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050" t="s">
        <v>2250</v>
      </c>
      <c r="B100" s="3051"/>
      <c r="C100" s="3051"/>
      <c r="D100" s="3082"/>
      <c r="E100" s="3051" t="s">
        <v>2251</v>
      </c>
      <c r="F100" s="3051"/>
      <c r="G100" s="3051"/>
      <c r="H100" s="3082"/>
      <c r="I100" s="138"/>
    </row>
    <row r="101" spans="1:35" ht="18.75" customHeight="1">
      <c r="A101" s="3090" t="s">
        <v>2252</v>
      </c>
      <c r="B101" s="3091"/>
      <c r="C101" s="736" t="str">
        <f>C4</f>
        <v>成本法</v>
      </c>
      <c r="D101" s="737" t="str">
        <f>D4</f>
        <v>收益法</v>
      </c>
      <c r="E101" s="3062" t="s">
        <v>2253</v>
      </c>
      <c r="F101" s="3063"/>
      <c r="G101" s="2518" t="s">
        <v>2254</v>
      </c>
      <c r="H101" s="1047">
        <f ca="1">H118</f>
        <v>23062</v>
      </c>
      <c r="I101" s="138"/>
    </row>
    <row r="102" spans="1:35" ht="18.75" customHeight="1">
      <c r="A102" s="3092" t="s">
        <v>2255</v>
      </c>
      <c r="B102" s="2518" t="s">
        <v>2254</v>
      </c>
      <c r="C102" s="736">
        <f ca="1">C19</f>
        <v>12087</v>
      </c>
      <c r="D102" s="737">
        <f ca="1">D19</f>
        <v>27765</v>
      </c>
      <c r="E102" s="3062"/>
      <c r="F102" s="3063"/>
      <c r="G102" s="2518" t="s">
        <v>2256</v>
      </c>
      <c r="H102" s="371">
        <f ca="1">I118</f>
        <v>5122</v>
      </c>
      <c r="I102" s="138"/>
    </row>
    <row r="103" spans="1:35" ht="42.75" customHeight="1">
      <c r="A103" s="3092"/>
      <c r="B103" s="2518" t="s">
        <v>2256</v>
      </c>
      <c r="C103" s="738">
        <f ca="1">C20</f>
        <v>2754</v>
      </c>
      <c r="D103" s="739">
        <f ca="1">D20</f>
        <v>6326</v>
      </c>
      <c r="E103" s="3056" t="s">
        <v>2257</v>
      </c>
      <c r="F103" s="3057"/>
      <c r="G103" s="2519" t="s">
        <v>2258</v>
      </c>
      <c r="H103" s="1047">
        <f>IF(D36="正常操作",H104+H105+H106,H105+H106)</f>
        <v>0</v>
      </c>
      <c r="I103" s="138"/>
    </row>
    <row r="104" spans="1:35" ht="18.75" customHeight="1">
      <c r="A104" s="3092" t="s">
        <v>2259</v>
      </c>
      <c r="B104" s="2520" t="s">
        <v>2254</v>
      </c>
      <c r="C104" s="740">
        <f ca="1">H118</f>
        <v>23062</v>
      </c>
      <c r="D104" s="741"/>
      <c r="E104" s="2266" t="s">
        <v>2260</v>
      </c>
      <c r="F104" s="2257"/>
      <c r="G104" s="2519" t="s">
        <v>2258</v>
      </c>
      <c r="H104" s="1048">
        <f>IF(D36="同一抵押权人同一抵押物续贷",C36&amp;"（未扣减，详见特别提示）",C36)</f>
        <v>0</v>
      </c>
      <c r="I104" s="138"/>
    </row>
    <row r="105" spans="1:35" ht="18.75" customHeight="1" thickBot="1">
      <c r="A105" s="3104"/>
      <c r="B105" s="2521" t="s">
        <v>2256</v>
      </c>
      <c r="C105" s="742">
        <f ca="1">I118</f>
        <v>5122</v>
      </c>
      <c r="D105" s="743"/>
      <c r="E105" s="2266" t="s">
        <v>2261</v>
      </c>
      <c r="F105" s="2257"/>
      <c r="G105" s="2519" t="s">
        <v>2258</v>
      </c>
      <c r="H105" s="1048">
        <f>C37</f>
        <v>0</v>
      </c>
      <c r="I105" s="138"/>
    </row>
    <row r="106" spans="1:35" ht="18.75" customHeight="1">
      <c r="A106" s="2416" t="s">
        <v>2262</v>
      </c>
      <c r="B106" s="2416"/>
      <c r="C106" s="2416"/>
      <c r="D106" s="2416"/>
      <c r="E106" s="2522" t="s">
        <v>2263</v>
      </c>
      <c r="F106" s="2257"/>
      <c r="G106" s="2519" t="s">
        <v>2258</v>
      </c>
      <c r="H106" s="1048">
        <f>C38</f>
        <v>0</v>
      </c>
      <c r="I106" s="138"/>
    </row>
    <row r="107" spans="1:35" ht="18.75" customHeight="1">
      <c r="A107" s="138"/>
      <c r="B107" s="138"/>
      <c r="C107" s="138"/>
      <c r="D107" s="138"/>
      <c r="E107" s="3093" t="str">
        <f>IF(项目基本情况!E8="已注销","——","3.房地产抵押价值")</f>
        <v>3.房地产抵押价值</v>
      </c>
      <c r="F107" s="3063"/>
      <c r="G107" s="2518" t="s">
        <v>2254</v>
      </c>
      <c r="H107" s="1047">
        <f ca="1">IF(E107="——","——",H101-H103)</f>
        <v>23062</v>
      </c>
      <c r="I107" s="138"/>
    </row>
    <row r="108" spans="1:35" ht="18.75" customHeight="1">
      <c r="A108" s="138"/>
      <c r="B108" s="138"/>
      <c r="C108" s="138"/>
      <c r="D108" s="138"/>
      <c r="E108" s="3093"/>
      <c r="F108" s="3063"/>
      <c r="G108" s="2518" t="s">
        <v>2256</v>
      </c>
      <c r="H108" s="371">
        <f ca="1">ROUND(H107*10000/'数据-汇总表'!E3,0)</f>
        <v>5122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8" t="s">
        <v>2254</v>
      </c>
      <c r="H109" s="348" t="str">
        <f>IF(E109="——","——",H101-H105-H106)</f>
        <v>——</v>
      </c>
      <c r="I109" s="138"/>
    </row>
    <row r="110" spans="1:35" ht="18.75" customHeight="1">
      <c r="A110" s="138"/>
      <c r="B110" s="138"/>
      <c r="C110" s="138"/>
      <c r="D110" s="138"/>
      <c r="E110" s="3093"/>
      <c r="F110" s="3063"/>
      <c r="G110" s="2518" t="s">
        <v>2256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8" t="s">
        <v>2254</v>
      </c>
      <c r="H111" s="1047" t="str">
        <f>IF(E111="——","——",N59)</f>
        <v>——</v>
      </c>
      <c r="I111" s="138"/>
    </row>
    <row r="112" spans="1:35" ht="18.75" customHeight="1" thickBot="1">
      <c r="A112" s="138"/>
      <c r="B112" s="138"/>
      <c r="C112" s="138"/>
      <c r="D112" s="138"/>
      <c r="E112" s="3096"/>
      <c r="F112" s="3097"/>
      <c r="G112" s="2523" t="s">
        <v>2256</v>
      </c>
      <c r="H112" s="790" t="str">
        <f>IF(E111="——","——",N61)</f>
        <v>——</v>
      </c>
      <c r="I112" s="138"/>
    </row>
    <row r="113" spans="1:11" ht="18.75" customHeight="1">
      <c r="A113" s="138"/>
      <c r="B113" s="138"/>
      <c r="C113" s="138"/>
      <c r="D113" s="138"/>
      <c r="E113" s="3105" t="s">
        <v>2262</v>
      </c>
      <c r="F113" s="3105"/>
      <c r="G113" s="3105"/>
      <c r="H113" s="3105"/>
      <c r="I113" s="138"/>
    </row>
    <row r="114" spans="1:11" ht="3.75" customHeight="1">
      <c r="A114" s="2416"/>
      <c r="B114" s="2416"/>
      <c r="C114" s="2416"/>
      <c r="D114" s="2416"/>
      <c r="E114" s="2494"/>
      <c r="F114" s="2494"/>
      <c r="G114" s="2494"/>
      <c r="H114" s="2494"/>
      <c r="I114" s="2416"/>
    </row>
    <row r="115" spans="1:11" ht="18.75" customHeight="1">
      <c r="A115" s="3118" t="s">
        <v>2264</v>
      </c>
      <c r="B115" s="3119"/>
      <c r="C115" s="3119"/>
      <c r="D115" s="3119"/>
      <c r="E115" s="3119"/>
      <c r="F115" s="3119"/>
      <c r="G115" s="3119"/>
      <c r="H115" s="3119"/>
      <c r="I115" s="3120"/>
    </row>
    <row r="116" spans="1:11" ht="27" customHeight="1">
      <c r="A116" s="3029" t="s">
        <v>2265</v>
      </c>
      <c r="B116" s="3072" t="s">
        <v>2266</v>
      </c>
      <c r="C116" s="3072" t="s">
        <v>2267</v>
      </c>
      <c r="D116" s="3078" t="s">
        <v>2268</v>
      </c>
      <c r="E116" s="3079"/>
      <c r="F116" s="3114" t="s">
        <v>3213</v>
      </c>
      <c r="G116" s="3114"/>
      <c r="H116" s="3029" t="s">
        <v>2269</v>
      </c>
      <c r="I116" s="3029"/>
    </row>
    <row r="117" spans="1:11" ht="18.75" customHeight="1">
      <c r="A117" s="3029"/>
      <c r="B117" s="3073"/>
      <c r="C117" s="3073"/>
      <c r="D117" s="1797" t="s">
        <v>2270</v>
      </c>
      <c r="E117" s="1797" t="s">
        <v>2271</v>
      </c>
      <c r="F117" s="1797" t="s">
        <v>2270</v>
      </c>
      <c r="G117" s="1797" t="s">
        <v>2272</v>
      </c>
      <c r="H117" s="1797" t="s">
        <v>2270</v>
      </c>
      <c r="I117" s="1797" t="s">
        <v>2272</v>
      </c>
    </row>
    <row r="118" spans="1:11" ht="24.75" customHeight="1">
      <c r="A118" s="2524" t="str">
        <f>项目基本情况!S2</f>
        <v>河北省廊坊市廊坊开发区华祥路东侧、耀华道北侧工业用房房地产</v>
      </c>
      <c r="B118" s="1797">
        <f>M18</f>
        <v>45029.380000000005</v>
      </c>
      <c r="C118" s="1797">
        <f>M19</f>
        <v>62946.5</v>
      </c>
      <c r="D118" s="1797">
        <f ca="1">ROUND(IF(D32="总价",C34,E118*B118/10000),0)</f>
        <v>6757</v>
      </c>
      <c r="E118" s="1797">
        <f ca="1">ROUND(IF(C33="自定义",IF(D32="楼面单价",C34,D118*10000/B118),I118-G118),0)</f>
        <v>1501</v>
      </c>
      <c r="F118" s="1797">
        <f ca="1">ROUND(IF(D32="总价",C35,G118*B118/10000),0)</f>
        <v>16305</v>
      </c>
      <c r="G118" s="1797">
        <f ca="1">ROUND(IF(D32="楼面单价",C35,F118*10000/B118),0)</f>
        <v>3621</v>
      </c>
      <c r="H118" s="1797">
        <f ca="1">ROUND(IF(D32="总价",C32,I118*B118/10000),0)</f>
        <v>23062</v>
      </c>
      <c r="I118" s="1797">
        <f ca="1">ROUND(IF(D32="楼面单价",C32,H118*10000/B118),0)</f>
        <v>5122</v>
      </c>
    </row>
    <row r="119" spans="1:11" ht="18.75" customHeight="1">
      <c r="A119" s="3029" t="s">
        <v>2273</v>
      </c>
      <c r="B119" s="3029"/>
      <c r="C119" s="3029"/>
      <c r="D119" s="3074" t="str">
        <f ca="1">NUMBERSTRING(INT(D118*10000),2)&amp;"元整"</f>
        <v>陆仟柒佰伍拾柒万元整</v>
      </c>
      <c r="E119" s="3075"/>
      <c r="F119" s="3074" t="str">
        <f ca="1">NUMBERSTRING(INT(F118*10000),2)&amp;"元整"</f>
        <v>壹亿陆仟叁佰零伍万元整</v>
      </c>
      <c r="G119" s="3075"/>
      <c r="H119" s="3074" t="str">
        <f ca="1">NUMBERSTRING(INT(H118*10000),2)&amp;"元整"</f>
        <v>贰亿叁仟零陆拾贰万元整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1" t="str">
        <f>IF(D120=0,"故，本次评估不存在"&amp;A120,"故，本次评估"&amp;A120&amp;"为人民币"&amp;D120&amp;"万元整。")</f>
        <v>故，本次评估不存在估价师知悉的法定优先受偿款</v>
      </c>
    </row>
    <row r="121" spans="1:11" ht="18.75" customHeight="1">
      <c r="A121" s="3115" t="s">
        <v>2273</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23062</v>
      </c>
      <c r="E122" s="3070"/>
      <c r="F122" s="3070"/>
      <c r="G122" s="3070"/>
      <c r="H122" s="3070"/>
      <c r="I122" s="3071"/>
    </row>
    <row r="123" spans="1:11" ht="18.75" customHeight="1">
      <c r="A123" s="3029" t="s">
        <v>2273</v>
      </c>
      <c r="B123" s="3029"/>
      <c r="C123" s="3029"/>
      <c r="D123" s="3074" t="str">
        <f ca="1">NUMBERSTRING(INT(D122*10000),2)&amp;"元整"</f>
        <v>贰亿叁仟零陆拾贰万元整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2273</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2273</v>
      </c>
      <c r="B127" s="3029"/>
      <c r="C127" s="3029"/>
      <c r="D127" s="3074" t="e">
        <f>NUMBERSTRING(INT(D126*10000),2)&amp;"元整"</f>
        <v>#VALUE!</v>
      </c>
      <c r="E127" s="3076"/>
      <c r="F127" s="3076"/>
      <c r="G127" s="3076"/>
      <c r="H127" s="3076"/>
      <c r="I127" s="3075"/>
    </row>
    <row r="128" spans="1:11" ht="21.75" customHeight="1">
      <c r="A128" s="3077" t="s">
        <v>2274</v>
      </c>
      <c r="B128" s="3077"/>
      <c r="C128" s="3077"/>
      <c r="D128" s="3077"/>
      <c r="E128" s="3077"/>
      <c r="F128" s="3077"/>
      <c r="G128" s="3077"/>
      <c r="H128" s="3077"/>
      <c r="I128" s="3077"/>
    </row>
    <row r="129" spans="1:35" ht="21.75" customHeight="1">
      <c r="A129" s="2525" t="s">
        <v>2275</v>
      </c>
      <c r="B129" s="2526"/>
      <c r="C129" s="2527" t="s">
        <v>2276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2277</v>
      </c>
      <c r="G135" s="2542"/>
      <c r="H135" s="2542"/>
      <c r="I135" s="2543" t="s">
        <v>2278</v>
      </c>
    </row>
    <row r="136" spans="1:35" ht="21.75" customHeight="1">
      <c r="A136" s="795"/>
      <c r="B136" s="2544"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2280</v>
      </c>
    </row>
    <row r="139" spans="1:35" ht="21.75" customHeight="1">
      <c r="A139" s="795"/>
      <c r="B139" s="2544" t="s">
        <v>2281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2280</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1" zoomScale="80" zoomScaleNormal="80" workbookViewId="0">
      <selection activeCell="C42" sqref="C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f>F61</f>
        <v>2757</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2285</v>
      </c>
      <c r="B3" s="609">
        <f>ROUND(IF(D3="",B2*10000/'数据-汇总表'!E3,B2*10000/D3),0)</f>
        <v>612</v>
      </c>
      <c r="C3" s="247" t="s">
        <v>2702</v>
      </c>
      <c r="D3" s="1585">
        <f>'数据-基础表'!B3</f>
        <v>45029.380000000005</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60" t="s">
        <v>2604</v>
      </c>
      <c r="AC4" s="3159" t="s">
        <v>2605</v>
      </c>
    </row>
    <row r="5" spans="1:29" ht="15">
      <c r="A5" s="404"/>
      <c r="B5" s="405"/>
      <c r="C5" s="3183"/>
      <c r="D5" s="3184"/>
      <c r="E5" s="3172" t="str">
        <f>Sheet1!A12</f>
        <v>九干渠东侧,河北拓能管道制造有限公司北侧,友谊路西侧</v>
      </c>
      <c r="F5" s="3173"/>
      <c r="G5" s="3183" t="str">
        <f>Sheet1!A29</f>
        <v>祥云道北侧,锦华路东侧,万福路西侧</v>
      </c>
      <c r="H5" s="3184"/>
      <c r="I5" s="3183" t="str">
        <f>Sheet1!A30</f>
        <v>友谊路东侧,木兰道北侧</v>
      </c>
      <c r="J5" s="3184"/>
      <c r="K5" s="610"/>
      <c r="L5" s="1132"/>
      <c r="M5" s="1133"/>
      <c r="N5" s="1133"/>
      <c r="O5" s="1133"/>
      <c r="P5" s="3168"/>
      <c r="Q5" s="3169"/>
      <c r="R5" s="3181"/>
      <c r="S5" s="3182"/>
      <c r="T5" s="3181"/>
      <c r="U5" s="3182"/>
      <c r="V5" s="3154"/>
      <c r="W5" s="3154"/>
      <c r="X5" s="1815"/>
      <c r="Y5" s="3181"/>
      <c r="Z5" s="3182"/>
      <c r="AA5" s="3160"/>
      <c r="AB5" s="3160"/>
      <c r="AC5" s="3160"/>
    </row>
    <row r="6" spans="1:29" ht="15.75" thickBot="1">
      <c r="A6" s="406"/>
      <c r="B6" s="407"/>
      <c r="C6" s="3185" t="s">
        <v>3170</v>
      </c>
      <c r="D6" s="3186"/>
      <c r="E6" s="3188" t="str">
        <f>E5</f>
        <v>九干渠东侧,河北拓能管道制造有限公司北侧,友谊路西侧</v>
      </c>
      <c r="F6" s="3189"/>
      <c r="G6" s="3190" t="s">
        <v>2753</v>
      </c>
      <c r="H6" s="3186"/>
      <c r="I6" s="3190" t="s">
        <v>2753</v>
      </c>
      <c r="J6" s="3186"/>
      <c r="K6" s="610" t="s">
        <v>2503</v>
      </c>
      <c r="L6" s="1132"/>
      <c r="M6" s="1133"/>
      <c r="N6" s="1133"/>
      <c r="O6" s="1133"/>
      <c r="P6" s="3170"/>
      <c r="Q6" s="3171"/>
      <c r="R6" s="3181"/>
      <c r="S6" s="3182"/>
      <c r="T6" s="3191"/>
      <c r="U6" s="3192"/>
      <c r="V6" s="3154"/>
      <c r="W6" s="3154"/>
      <c r="X6" s="1815"/>
      <c r="Y6" s="3191"/>
      <c r="Z6" s="3192"/>
      <c r="AA6" s="3161"/>
      <c r="AB6" s="3161"/>
      <c r="AC6" s="3161"/>
    </row>
    <row r="7" spans="1:29" s="117" customFormat="1" ht="15.75" thickBot="1">
      <c r="A7" s="408" t="s">
        <v>2504</v>
      </c>
      <c r="B7" s="409"/>
      <c r="C7" s="410">
        <f>'数据-取费表'!B2</f>
        <v>43245</v>
      </c>
      <c r="D7" s="411">
        <v>100</v>
      </c>
      <c r="E7" s="412" t="str">
        <f>Sheet1!H12</f>
        <v>2017-04-13</v>
      </c>
      <c r="F7" s="413">
        <f>SUMIF(65:65,YEAR(E7)&amp;"-"&amp;INT((MONTH(E7)+2)/3),66:66)</f>
        <v>98</v>
      </c>
      <c r="G7" s="2696" t="str">
        <f>Sheet1!H29</f>
        <v>2016-09-14</v>
      </c>
      <c r="H7" s="411">
        <f>SUMIF(65:65,YEAR(G7)&amp;"-"&amp;INT((MONTH(G7)+2)/3),66:66)</f>
        <v>96.5</v>
      </c>
      <c r="I7" s="2696" t="str">
        <f>Sheet1!H30</f>
        <v>2016-09-14</v>
      </c>
      <c r="J7" s="411">
        <f>SUMIF(65:65,YEAR(I7)&amp;"-"&amp;INT((MONTH(I7)+2)/3),66:66)</f>
        <v>96.5</v>
      </c>
      <c r="K7" s="611"/>
      <c r="L7" s="1134"/>
      <c r="M7" s="1135"/>
      <c r="N7" s="1135"/>
      <c r="O7" s="1135"/>
      <c r="P7" s="3174" t="s">
        <v>2505</v>
      </c>
      <c r="Q7" s="3187"/>
      <c r="R7" s="770" t="s">
        <v>17</v>
      </c>
      <c r="S7" s="771">
        <f t="shared" ref="S7:S15" si="0">F7</f>
        <v>98</v>
      </c>
      <c r="T7" s="770" t="s">
        <v>17</v>
      </c>
      <c r="U7" s="771">
        <f t="shared" ref="U7:U15" si="1">H7</f>
        <v>96.5</v>
      </c>
      <c r="V7" s="770" t="s">
        <v>17</v>
      </c>
      <c r="W7" s="771">
        <f t="shared" ref="W7:W15" si="2">J7</f>
        <v>96.5</v>
      </c>
      <c r="X7" s="772"/>
      <c r="Y7" s="3174" t="s">
        <v>2505</v>
      </c>
      <c r="Z7" s="3175"/>
      <c r="AA7" s="773">
        <f>D7/F7</f>
        <v>1.0204081632653061</v>
      </c>
      <c r="AB7" s="773">
        <f>D7/H7</f>
        <v>1.0362694300518134</v>
      </c>
      <c r="AC7" s="773">
        <f>D7/J7</f>
        <v>1.0362694300518134</v>
      </c>
    </row>
    <row r="8" spans="1:29" s="117" customFormat="1" ht="15.75" thickBot="1">
      <c r="A8" s="408" t="s">
        <v>2506</v>
      </c>
      <c r="B8" s="409"/>
      <c r="C8" s="414" t="s">
        <v>2507</v>
      </c>
      <c r="D8" s="411">
        <v>100</v>
      </c>
      <c r="E8" s="414" t="s">
        <v>3171</v>
      </c>
      <c r="F8" s="413">
        <f>SUMIF(68:68,E8,69:69)-SUMIF(68:68,C8,69:69)+100</f>
        <v>100</v>
      </c>
      <c r="G8" s="414" t="s">
        <v>3171</v>
      </c>
      <c r="H8" s="411">
        <f>SUMIF(68:68,G8,69:69)-SUMIF(68:68,C8,69:69)+100</f>
        <v>100</v>
      </c>
      <c r="I8" s="414" t="s">
        <v>3171</v>
      </c>
      <c r="J8" s="411">
        <f>SUMIF(68:68,I8,69:69)-SUMIF(68:68,C8,69:69)+100</f>
        <v>100</v>
      </c>
      <c r="K8" s="611"/>
      <c r="L8" s="1134"/>
      <c r="M8" s="1135"/>
      <c r="N8" s="1135"/>
      <c r="O8" s="1135"/>
      <c r="P8" s="3174" t="s">
        <v>2508</v>
      </c>
      <c r="Q8" s="3175"/>
      <c r="R8" s="770" t="s">
        <v>17</v>
      </c>
      <c r="S8" s="771">
        <f t="shared" si="0"/>
        <v>100</v>
      </c>
      <c r="T8" s="770" t="s">
        <v>17</v>
      </c>
      <c r="U8" s="771">
        <f t="shared" si="1"/>
        <v>100</v>
      </c>
      <c r="V8" s="770" t="s">
        <v>17</v>
      </c>
      <c r="W8" s="771">
        <f t="shared" si="2"/>
        <v>100</v>
      </c>
      <c r="X8" s="772"/>
      <c r="Y8" s="3174" t="s">
        <v>2508</v>
      </c>
      <c r="Z8" s="3175"/>
      <c r="AA8" s="773">
        <f t="shared" ref="AA8:AA40" si="3">D8/F8</f>
        <v>1</v>
      </c>
      <c r="AB8" s="773">
        <f t="shared" ref="AB8:AB40" si="4">D8/H8</f>
        <v>1</v>
      </c>
      <c r="AC8" s="773">
        <f t="shared" ref="AC8:AC40" si="5">D8/J8</f>
        <v>1</v>
      </c>
    </row>
    <row r="9" spans="1:29" s="117" customFormat="1">
      <c r="A9" s="415" t="s">
        <v>2509</v>
      </c>
      <c r="B9" s="71" t="s">
        <v>2510</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52"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773">
        <f t="shared" si="5"/>
        <v>1</v>
      </c>
    </row>
    <row r="10" spans="1:29" s="427" customFormat="1" ht="27">
      <c r="A10" s="421"/>
      <c r="B10" s="422" t="s">
        <v>2513</v>
      </c>
      <c r="C10" s="432" t="s">
        <v>3172</v>
      </c>
      <c r="D10" s="136">
        <v>100</v>
      </c>
      <c r="E10" s="432" t="s">
        <v>3173</v>
      </c>
      <c r="F10" s="136">
        <f>ROUND(100/'数据-取费表'!G16,0)</f>
        <v>111</v>
      </c>
      <c r="G10" s="432" t="s">
        <v>3173</v>
      </c>
      <c r="H10" s="136">
        <f>ROUND(100/'数据-取费表'!G16,0)</f>
        <v>111</v>
      </c>
      <c r="I10" s="432" t="s">
        <v>3173</v>
      </c>
      <c r="J10" s="136">
        <f>ROUND(100/'数据-取费表'!G16,0)</f>
        <v>111</v>
      </c>
      <c r="K10" s="672"/>
      <c r="L10" s="1137"/>
      <c r="M10" s="1138"/>
      <c r="N10" s="1138"/>
      <c r="O10" s="1139"/>
      <c r="P10" s="3152"/>
      <c r="Q10" s="1797" t="str">
        <f t="shared" si="6"/>
        <v>土地使用年限（年）</v>
      </c>
      <c r="R10" s="770" t="s">
        <v>17</v>
      </c>
      <c r="S10" s="771">
        <f t="shared" si="0"/>
        <v>111</v>
      </c>
      <c r="T10" s="770" t="s">
        <v>17</v>
      </c>
      <c r="U10" s="771">
        <f t="shared" si="1"/>
        <v>111</v>
      </c>
      <c r="V10" s="770" t="s">
        <v>17</v>
      </c>
      <c r="W10" s="771">
        <f t="shared" si="2"/>
        <v>111</v>
      </c>
      <c r="X10" s="772"/>
      <c r="Y10" s="3029"/>
      <c r="Z10" s="55" t="str">
        <f t="shared" si="7"/>
        <v>土地使用年限（年）</v>
      </c>
      <c r="AA10" s="773">
        <f t="shared" si="3"/>
        <v>0.90090090090090091</v>
      </c>
      <c r="AB10" s="773">
        <f t="shared" si="4"/>
        <v>0.90090090090090091</v>
      </c>
      <c r="AC10" s="773">
        <f t="shared" si="5"/>
        <v>0.90090090090090091</v>
      </c>
    </row>
    <row r="11" spans="1:29" ht="15.75" thickBot="1">
      <c r="A11" s="428"/>
      <c r="B11" s="422" t="s">
        <v>2514</v>
      </c>
      <c r="C11" s="429">
        <f>'数据-汇总表'!I6</f>
        <v>0.72</v>
      </c>
      <c r="D11" s="136">
        <v>100</v>
      </c>
      <c r="E11" s="429">
        <v>1</v>
      </c>
      <c r="F11" s="136">
        <f>LOOKUP(E11,75:75,76:76)-LOOKUP(C11,75:75,76:76)+100</f>
        <v>100</v>
      </c>
      <c r="G11" s="430">
        <v>1</v>
      </c>
      <c r="H11" s="136">
        <f>LOOKUP(G11,75:75,76:76)-LOOKUP(C11,75:75,76:76)+100</f>
        <v>100</v>
      </c>
      <c r="I11" s="429">
        <v>1</v>
      </c>
      <c r="J11" s="136">
        <f>LOOKUP(I11,75:75,76:76)-LOOKUP(C11,75:75,76:76)+100</f>
        <v>100</v>
      </c>
      <c r="K11" s="673">
        <v>0</v>
      </c>
      <c r="L11" s="1140"/>
      <c r="M11" s="1133"/>
      <c r="N11" s="1133"/>
      <c r="O11" s="1141"/>
      <c r="P11" s="3152"/>
      <c r="Q11" s="1797"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773">
        <f t="shared" si="5"/>
        <v>1</v>
      </c>
    </row>
    <row r="12" spans="1:29" s="117" customFormat="1" ht="15" hidden="1">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hidden="1">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hidden="1"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2"/>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0.5" customHeight="1">
      <c r="A15" s="440" t="s">
        <v>2515</v>
      </c>
      <c r="B15" s="629" t="s">
        <v>2754</v>
      </c>
      <c r="C15" s="2693" t="str">
        <f>估价对象房地状况!G15</f>
        <v>估价对象位廊坊开发区，周边工业建设较成熟，产业集聚程度较好</v>
      </c>
      <c r="D15" s="441">
        <v>100</v>
      </c>
      <c r="E15" s="442"/>
      <c r="F15" s="441">
        <f>SUMIF(83:83,E16,84:84)-SUMIF(83:83,C16,84:84)+100</f>
        <v>97</v>
      </c>
      <c r="G15" s="442"/>
      <c r="H15" s="441">
        <f>SUMIF(83:83,G16,84:84)-SUMIF(83:83,C16,84:84)+100</f>
        <v>100</v>
      </c>
      <c r="I15" s="444"/>
      <c r="J15" s="441">
        <f>SUMIF(83:83,I16,84:84)-SUMIF(83:83,C16,84:84)+100</f>
        <v>97</v>
      </c>
      <c r="K15" s="673">
        <v>3</v>
      </c>
      <c r="L15" s="1142"/>
      <c r="M15" s="1133"/>
      <c r="N15" s="1133"/>
      <c r="O15" s="1141"/>
      <c r="P15" s="3155" t="s">
        <v>2516</v>
      </c>
      <c r="Q15" s="1812" t="str">
        <f t="shared" si="6"/>
        <v>产业集聚程度</v>
      </c>
      <c r="R15" s="774" t="s">
        <v>17</v>
      </c>
      <c r="S15" s="775">
        <f t="shared" si="0"/>
        <v>97</v>
      </c>
      <c r="T15" s="774" t="s">
        <v>17</v>
      </c>
      <c r="U15" s="775">
        <f t="shared" si="1"/>
        <v>100</v>
      </c>
      <c r="V15" s="774" t="s">
        <v>17</v>
      </c>
      <c r="W15" s="775">
        <f t="shared" si="2"/>
        <v>97</v>
      </c>
      <c r="X15" s="1815"/>
      <c r="Y15" s="3155" t="s">
        <v>2516</v>
      </c>
      <c r="Z15" s="1816" t="str">
        <f t="shared" si="7"/>
        <v>产业集聚程度</v>
      </c>
      <c r="AA15" s="1813">
        <f t="shared" si="3"/>
        <v>1.0309278350515463</v>
      </c>
      <c r="AB15" s="1813">
        <f t="shared" si="4"/>
        <v>1</v>
      </c>
      <c r="AC15" s="1813">
        <f t="shared" si="5"/>
        <v>1.0309278350515463</v>
      </c>
    </row>
    <row r="16" spans="1:29" ht="15">
      <c r="A16" s="428"/>
      <c r="B16" s="630"/>
      <c r="C16" s="447" t="s">
        <v>3183</v>
      </c>
      <c r="D16" s="448"/>
      <c r="E16" s="2611" t="s">
        <v>3185</v>
      </c>
      <c r="F16" s="448"/>
      <c r="G16" s="2611" t="s">
        <v>3183</v>
      </c>
      <c r="H16" s="450"/>
      <c r="I16" s="2611" t="s">
        <v>3185</v>
      </c>
      <c r="J16" s="448"/>
      <c r="K16" s="672"/>
      <c r="L16" s="1142"/>
      <c r="M16" s="1133"/>
      <c r="N16" s="1133"/>
      <c r="O16" s="1141"/>
      <c r="P16" s="3156"/>
      <c r="Q16" s="1812"/>
      <c r="R16" s="774"/>
      <c r="S16" s="775"/>
      <c r="T16" s="774"/>
      <c r="U16" s="775"/>
      <c r="V16" s="774"/>
      <c r="W16" s="775"/>
      <c r="X16" s="1815"/>
      <c r="Y16" s="3156"/>
      <c r="Z16" s="1816"/>
      <c r="AA16" s="1813">
        <v>1</v>
      </c>
      <c r="AB16" s="1813">
        <v>1</v>
      </c>
      <c r="AC16" s="1813">
        <v>1</v>
      </c>
    </row>
    <row r="17" spans="1:29" ht="108" customHeight="1">
      <c r="A17" s="428"/>
      <c r="B17" s="631" t="s">
        <v>2665</v>
      </c>
      <c r="C17" s="2607" t="str">
        <f>估价对象房地状况!G16</f>
        <v>估价对象周边有16路、17路等多条公共路线、停车较便捷，东距城市主干道600米，综合评价交通便捷度较好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56"/>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632"/>
      <c r="C18" s="447" t="s">
        <v>3183</v>
      </c>
      <c r="D18" s="448"/>
      <c r="E18" s="2605" t="s">
        <v>3183</v>
      </c>
      <c r="F18" s="448"/>
      <c r="G18" s="2605" t="s">
        <v>3183</v>
      </c>
      <c r="H18" s="448"/>
      <c r="I18" s="2604" t="s">
        <v>3183</v>
      </c>
      <c r="J18" s="448"/>
      <c r="K18" s="672"/>
      <c r="L18" s="1142"/>
      <c r="M18" s="1133"/>
      <c r="N18" s="1133"/>
      <c r="O18" s="1141"/>
      <c r="P18" s="3156"/>
      <c r="Q18" s="1812"/>
      <c r="R18" s="774"/>
      <c r="S18" s="775"/>
      <c r="T18" s="774"/>
      <c r="U18" s="775"/>
      <c r="V18" s="774"/>
      <c r="W18" s="775"/>
      <c r="X18" s="1815"/>
      <c r="Y18" s="3156"/>
      <c r="Z18" s="1816"/>
      <c r="AA18" s="1813">
        <v>1</v>
      </c>
      <c r="AB18" s="1813">
        <v>1</v>
      </c>
      <c r="AC18" s="1813">
        <v>1</v>
      </c>
    </row>
    <row r="19" spans="1:29" ht="15">
      <c r="A19" s="428"/>
      <c r="B19" s="631" t="s">
        <v>2704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56"/>
      <c r="Q19" s="1812" t="str">
        <f t="shared" ref="Q19:Q33" si="8">B19</f>
        <v>区域土地利用方向</v>
      </c>
      <c r="R19" s="774" t="s">
        <v>17</v>
      </c>
      <c r="S19" s="775">
        <f>F19</f>
        <v>100</v>
      </c>
      <c r="T19" s="774" t="s">
        <v>17</v>
      </c>
      <c r="U19" s="775">
        <f>H19</f>
        <v>100</v>
      </c>
      <c r="V19" s="774" t="s">
        <v>17</v>
      </c>
      <c r="W19" s="775">
        <f>J19</f>
        <v>100</v>
      </c>
      <c r="X19" s="1815"/>
      <c r="Y19" s="3156"/>
      <c r="Z19" s="1816" t="str">
        <f>Q19</f>
        <v>区域土地利用方向</v>
      </c>
      <c r="AA19" s="1813">
        <f t="shared" si="3"/>
        <v>1</v>
      </c>
      <c r="AB19" s="1813">
        <f t="shared" si="4"/>
        <v>1</v>
      </c>
      <c r="AC19" s="1813">
        <f t="shared" si="5"/>
        <v>1</v>
      </c>
    </row>
    <row r="20" spans="1:29" ht="15">
      <c r="A20" s="404"/>
      <c r="B20" s="632"/>
      <c r="C20" s="447" t="s">
        <v>3183</v>
      </c>
      <c r="D20" s="448"/>
      <c r="E20" s="2605" t="s">
        <v>3183</v>
      </c>
      <c r="F20" s="448"/>
      <c r="G20" s="2605" t="s">
        <v>3183</v>
      </c>
      <c r="H20" s="448"/>
      <c r="I20" s="2605" t="s">
        <v>3183</v>
      </c>
      <c r="J20" s="448"/>
      <c r="K20" s="812"/>
      <c r="L20" s="1142"/>
      <c r="M20" s="1133"/>
      <c r="N20" s="1133"/>
      <c r="O20" s="1141"/>
      <c r="P20" s="3156"/>
      <c r="Q20" s="1812"/>
      <c r="R20" s="774"/>
      <c r="S20" s="775"/>
      <c r="T20" s="774"/>
      <c r="U20" s="775"/>
      <c r="V20" s="774"/>
      <c r="W20" s="775"/>
      <c r="X20" s="1815"/>
      <c r="Y20" s="3156"/>
      <c r="Z20" s="1816"/>
      <c r="AA20" s="1813"/>
      <c r="AB20" s="1813"/>
      <c r="AC20" s="1813"/>
    </row>
    <row r="21" spans="1:29" ht="71.25">
      <c r="A21" s="404"/>
      <c r="B21" s="631" t="s">
        <v>2755</v>
      </c>
      <c r="C21" s="2607"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56"/>
      <c r="Q21" s="1812" t="str">
        <f t="shared" si="8"/>
        <v>环境状况</v>
      </c>
      <c r="R21" s="774" t="s">
        <v>17</v>
      </c>
      <c r="S21" s="775">
        <f>F21</f>
        <v>100</v>
      </c>
      <c r="T21" s="774" t="s">
        <v>17</v>
      </c>
      <c r="U21" s="775">
        <f>H21</f>
        <v>100</v>
      </c>
      <c r="V21" s="774" t="s">
        <v>17</v>
      </c>
      <c r="W21" s="775">
        <f>J21</f>
        <v>100</v>
      </c>
      <c r="X21" s="1815"/>
      <c r="Y21" s="3156"/>
      <c r="Z21" s="1816" t="str">
        <f>Q21</f>
        <v>环境状况</v>
      </c>
      <c r="AA21" s="1813">
        <f t="shared" si="3"/>
        <v>1</v>
      </c>
      <c r="AB21" s="1813">
        <f t="shared" si="4"/>
        <v>1</v>
      </c>
      <c r="AC21" s="1813">
        <f t="shared" si="5"/>
        <v>1</v>
      </c>
    </row>
    <row r="22" spans="1:29" ht="15">
      <c r="A22" s="404"/>
      <c r="B22" s="632"/>
      <c r="C22" s="447" t="s">
        <v>3183</v>
      </c>
      <c r="D22" s="448"/>
      <c r="E22" s="2611" t="s">
        <v>3183</v>
      </c>
      <c r="F22" s="448"/>
      <c r="G22" s="2611" t="s">
        <v>3183</v>
      </c>
      <c r="H22" s="448"/>
      <c r="I22" s="447" t="s">
        <v>3183</v>
      </c>
      <c r="J22" s="448"/>
      <c r="K22" s="672"/>
      <c r="L22" s="1142"/>
      <c r="M22" s="1133"/>
      <c r="N22" s="1133"/>
      <c r="O22" s="1141"/>
      <c r="P22" s="3156"/>
      <c r="Q22" s="1812"/>
      <c r="R22" s="774"/>
      <c r="S22" s="775"/>
      <c r="T22" s="774"/>
      <c r="U22" s="775"/>
      <c r="V22" s="774"/>
      <c r="W22" s="775"/>
      <c r="X22" s="1815"/>
      <c r="Y22" s="3156"/>
      <c r="Z22" s="1816"/>
      <c r="AA22" s="1813">
        <v>1</v>
      </c>
      <c r="AB22" s="1813">
        <v>1</v>
      </c>
      <c r="AC22" s="1813">
        <v>1</v>
      </c>
    </row>
    <row r="23" spans="1:29" s="117" customFormat="1" ht="42.75">
      <c r="A23" s="649"/>
      <c r="B23" s="633" t="s">
        <v>2610</v>
      </c>
      <c r="C23" s="2607"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v>2</v>
      </c>
      <c r="L23" s="1134"/>
      <c r="M23" s="1135"/>
      <c r="N23" s="1135"/>
      <c r="O23" s="1136"/>
      <c r="P23" s="3156"/>
      <c r="Q23" s="1797" t="str">
        <f t="shared" si="8"/>
        <v>公共配套设施</v>
      </c>
      <c r="R23" s="770" t="s">
        <v>17</v>
      </c>
      <c r="S23" s="771">
        <f>F23</f>
        <v>100</v>
      </c>
      <c r="T23" s="770" t="s">
        <v>17</v>
      </c>
      <c r="U23" s="771">
        <f>H23</f>
        <v>100</v>
      </c>
      <c r="V23" s="770" t="s">
        <v>17</v>
      </c>
      <c r="W23" s="771">
        <f>J23</f>
        <v>100</v>
      </c>
      <c r="X23" s="772"/>
      <c r="Y23" s="3156"/>
      <c r="Z23" s="55" t="str">
        <f>Q23</f>
        <v>公共配套设施</v>
      </c>
      <c r="AA23" s="1813">
        <f>D23/F23</f>
        <v>1</v>
      </c>
      <c r="AB23" s="1813">
        <f>D23/H23</f>
        <v>1</v>
      </c>
      <c r="AC23" s="1813">
        <f>D23/J23</f>
        <v>1</v>
      </c>
    </row>
    <row r="24" spans="1:29" s="117" customFormat="1" ht="15">
      <c r="A24" s="649"/>
      <c r="B24" s="632"/>
      <c r="C24" s="2700" t="s">
        <v>3185</v>
      </c>
      <c r="D24" s="448"/>
      <c r="E24" s="2611" t="s">
        <v>3185</v>
      </c>
      <c r="F24" s="448"/>
      <c r="G24" s="2611" t="s">
        <v>3185</v>
      </c>
      <c r="H24" s="448"/>
      <c r="I24" s="447" t="s">
        <v>3185</v>
      </c>
      <c r="J24" s="448"/>
      <c r="K24" s="672"/>
      <c r="L24" s="1134"/>
      <c r="M24" s="1135"/>
      <c r="N24" s="1135"/>
      <c r="O24" s="1136"/>
      <c r="P24" s="3156"/>
      <c r="Q24" s="1797"/>
      <c r="R24" s="770"/>
      <c r="S24" s="771"/>
      <c r="T24" s="770"/>
      <c r="U24" s="771"/>
      <c r="V24" s="770"/>
      <c r="W24" s="771"/>
      <c r="X24" s="772"/>
      <c r="Y24" s="3156"/>
      <c r="Z24" s="55"/>
      <c r="AA24" s="773">
        <v>1</v>
      </c>
      <c r="AB24" s="773">
        <v>1</v>
      </c>
      <c r="AC24" s="773">
        <v>1</v>
      </c>
    </row>
    <row r="25" spans="1:29" s="117" customFormat="1" ht="42.75">
      <c r="A25" s="649"/>
      <c r="B25" s="633" t="s">
        <v>2611</v>
      </c>
      <c r="C25" s="2607"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56"/>
      <c r="Q25" s="1797" t="str">
        <f t="shared" ref="Q25" si="9">B25</f>
        <v>基础设施水平</v>
      </c>
      <c r="R25" s="770" t="s">
        <v>17</v>
      </c>
      <c r="S25" s="771">
        <f>F25</f>
        <v>100</v>
      </c>
      <c r="T25" s="770" t="s">
        <v>17</v>
      </c>
      <c r="U25" s="771">
        <f>H25</f>
        <v>100</v>
      </c>
      <c r="V25" s="770" t="s">
        <v>17</v>
      </c>
      <c r="W25" s="771">
        <f>J25</f>
        <v>100</v>
      </c>
      <c r="X25" s="772"/>
      <c r="Y25" s="3156"/>
      <c r="Z25" s="55" t="str">
        <f>Q25</f>
        <v>基础设施水平</v>
      </c>
      <c r="AA25" s="1813">
        <f>D25/F25</f>
        <v>1</v>
      </c>
      <c r="AB25" s="1813">
        <f>D25/H25</f>
        <v>1</v>
      </c>
      <c r="AC25" s="1813">
        <f>D25/J25</f>
        <v>1</v>
      </c>
    </row>
    <row r="26" spans="1:29" s="117" customFormat="1" ht="15">
      <c r="A26" s="649"/>
      <c r="B26" s="632"/>
      <c r="C26" s="2700" t="s">
        <v>3182</v>
      </c>
      <c r="D26" s="448"/>
      <c r="E26" s="2701" t="s">
        <v>3182</v>
      </c>
      <c r="F26" s="448"/>
      <c r="G26" s="2701" t="s">
        <v>3182</v>
      </c>
      <c r="H26" s="448"/>
      <c r="I26" s="2701" t="s">
        <v>3182</v>
      </c>
      <c r="J26" s="448"/>
      <c r="K26" s="672"/>
      <c r="L26" s="1134"/>
      <c r="M26" s="1135"/>
      <c r="N26" s="1135"/>
      <c r="O26" s="1136"/>
      <c r="P26" s="3156"/>
      <c r="Q26" s="1797"/>
      <c r="R26" s="770"/>
      <c r="S26" s="771"/>
      <c r="T26" s="770"/>
      <c r="U26" s="771"/>
      <c r="V26" s="770"/>
      <c r="W26" s="771"/>
      <c r="X26" s="772"/>
      <c r="Y26" s="3156"/>
      <c r="Z26" s="55"/>
      <c r="AA26" s="773">
        <v>1</v>
      </c>
      <c r="AB26" s="773">
        <v>1</v>
      </c>
      <c r="AC26" s="773">
        <v>1</v>
      </c>
    </row>
    <row r="27" spans="1:29" ht="15">
      <c r="A27" s="428"/>
      <c r="B27" s="632" t="s">
        <v>2612</v>
      </c>
      <c r="C27" s="616" t="s">
        <v>3179</v>
      </c>
      <c r="D27" s="435">
        <v>100</v>
      </c>
      <c r="E27" s="634" t="s">
        <v>3179</v>
      </c>
      <c r="F27" s="435">
        <f>SUMIF(95:95,E27,96:96)-SUMIF(95:95,C27,96:96)+100</f>
        <v>100</v>
      </c>
      <c r="G27" s="634" t="s">
        <v>3181</v>
      </c>
      <c r="H27" s="435">
        <f>SUMIF(95:95,G27,96:96)-SUMIF(95:95,C27,96:96)+100</f>
        <v>101</v>
      </c>
      <c r="I27" s="634" t="s">
        <v>3181</v>
      </c>
      <c r="J27" s="435">
        <f>SUMIF(95:95,I27,96:96)-SUMIF(95:95,C27,96:96)+100</f>
        <v>101</v>
      </c>
      <c r="K27" s="673">
        <v>1</v>
      </c>
      <c r="L27" s="1142"/>
      <c r="M27" s="1133"/>
      <c r="N27" s="1133"/>
      <c r="O27" s="1141"/>
      <c r="P27" s="3156"/>
      <c r="Q27" s="1812" t="str">
        <f t="shared" si="8"/>
        <v>临街状况</v>
      </c>
      <c r="R27" s="774" t="s">
        <v>17</v>
      </c>
      <c r="S27" s="775">
        <f t="shared" ref="S27:S40" si="10">F27</f>
        <v>100</v>
      </c>
      <c r="T27" s="774" t="s">
        <v>17</v>
      </c>
      <c r="U27" s="775">
        <f t="shared" ref="U27:U40" si="11">H27</f>
        <v>101</v>
      </c>
      <c r="V27" s="774" t="s">
        <v>17</v>
      </c>
      <c r="W27" s="775">
        <f t="shared" ref="W27:W40" si="12">J27</f>
        <v>101</v>
      </c>
      <c r="X27" s="1815"/>
      <c r="Y27" s="3156"/>
      <c r="Z27" s="1816" t="str">
        <f t="shared" ref="Z27:Z40" si="13">Q27</f>
        <v>临街状况</v>
      </c>
      <c r="AA27" s="1813">
        <f t="shared" si="3"/>
        <v>1</v>
      </c>
      <c r="AB27" s="1813">
        <f t="shared" si="4"/>
        <v>0.99009900990099009</v>
      </c>
      <c r="AC27" s="1813">
        <f t="shared" si="5"/>
        <v>0.99009900990099009</v>
      </c>
    </row>
    <row r="28" spans="1:29" ht="28.5">
      <c r="A28" s="428"/>
      <c r="B28" s="633" t="s">
        <v>2647</v>
      </c>
      <c r="C28" s="2713" t="str">
        <f>估价对象房地状况!G22</f>
        <v>次干道——北凤道</v>
      </c>
      <c r="D28" s="450">
        <v>100</v>
      </c>
      <c r="E28" s="2958" t="s">
        <v>3208</v>
      </c>
      <c r="F28" s="450">
        <f>SUMIF(97:97,E29,98:98)-SUMIF(97:97,C29,98:98)+100</f>
        <v>99</v>
      </c>
      <c r="G28" s="2958" t="s">
        <v>3205</v>
      </c>
      <c r="H28" s="450">
        <f>SUMIF(97:97,G29,98:98)-SUMIF(97:97,C29,98:98)+100</f>
        <v>99</v>
      </c>
      <c r="I28" s="2959" t="s">
        <v>3206</v>
      </c>
      <c r="J28" s="450">
        <f>SUMIF(97:97,I29,98:98)-SUMIF(97:97,C29,98:98)+100</f>
        <v>99</v>
      </c>
      <c r="K28" s="673">
        <v>1</v>
      </c>
      <c r="L28" s="1142"/>
      <c r="M28" s="1133"/>
      <c r="N28" s="1133"/>
      <c r="O28" s="1141"/>
      <c r="P28" s="3156"/>
      <c r="Q28" s="1812" t="str">
        <f t="shared" si="8"/>
        <v>毗邻道路的类型与等级</v>
      </c>
      <c r="R28" s="774" t="s">
        <v>17</v>
      </c>
      <c r="S28" s="775">
        <f t="shared" si="10"/>
        <v>99</v>
      </c>
      <c r="T28" s="774" t="s">
        <v>17</v>
      </c>
      <c r="U28" s="775">
        <f t="shared" si="11"/>
        <v>99</v>
      </c>
      <c r="V28" s="774" t="s">
        <v>17</v>
      </c>
      <c r="W28" s="775">
        <f t="shared" si="12"/>
        <v>99</v>
      </c>
      <c r="X28" s="1815"/>
      <c r="Y28" s="3156"/>
      <c r="Z28" s="1816" t="str">
        <f t="shared" si="13"/>
        <v>毗邻道路的类型与等级</v>
      </c>
      <c r="AA28" s="1813">
        <f t="shared" si="3"/>
        <v>1.0101010101010102</v>
      </c>
      <c r="AB28" s="1813">
        <f t="shared" si="4"/>
        <v>1.0101010101010102</v>
      </c>
      <c r="AC28" s="1813">
        <f t="shared" si="5"/>
        <v>1.0101010101010102</v>
      </c>
    </row>
    <row r="29" spans="1:29" ht="15.75" thickBot="1">
      <c r="A29" s="428"/>
      <c r="B29" s="632"/>
      <c r="C29" s="447" t="s">
        <v>3190</v>
      </c>
      <c r="D29" s="448"/>
      <c r="E29" s="2611" t="s">
        <v>3192</v>
      </c>
      <c r="F29" s="448"/>
      <c r="G29" s="2611" t="s">
        <v>3192</v>
      </c>
      <c r="H29" s="448"/>
      <c r="I29" s="2611" t="s">
        <v>3192</v>
      </c>
      <c r="J29" s="448"/>
      <c r="K29" s="613"/>
      <c r="L29" s="1142"/>
      <c r="M29" s="1133"/>
      <c r="N29" s="1133"/>
      <c r="O29" s="1141"/>
      <c r="P29" s="3156"/>
      <c r="Q29" s="1812"/>
      <c r="R29" s="774"/>
      <c r="S29" s="775"/>
      <c r="T29" s="774"/>
      <c r="U29" s="775"/>
      <c r="V29" s="774"/>
      <c r="W29" s="775"/>
      <c r="X29" s="1815"/>
      <c r="Y29" s="3156"/>
      <c r="Z29" s="1816"/>
      <c r="AA29" s="1813">
        <v>1</v>
      </c>
      <c r="AB29" s="1813">
        <v>1</v>
      </c>
      <c r="AC29" s="1813">
        <v>1</v>
      </c>
    </row>
    <row r="30" spans="1:29" ht="15" hidden="1">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56"/>
      <c r="Q30" s="1812" t="str">
        <f t="shared" si="8"/>
        <v>土地级别</v>
      </c>
      <c r="R30" s="774" t="s">
        <v>17</v>
      </c>
      <c r="S30" s="775">
        <f t="shared" si="10"/>
        <v>100</v>
      </c>
      <c r="T30" s="774" t="s">
        <v>17</v>
      </c>
      <c r="U30" s="775">
        <f t="shared" si="11"/>
        <v>100</v>
      </c>
      <c r="V30" s="774" t="s">
        <v>17</v>
      </c>
      <c r="W30" s="775">
        <f t="shared" si="12"/>
        <v>100</v>
      </c>
      <c r="X30" s="1815"/>
      <c r="Y30" s="3156"/>
      <c r="Z30" s="1816" t="str">
        <f t="shared" si="13"/>
        <v>土地级别</v>
      </c>
      <c r="AA30" s="1813">
        <f t="shared" si="3"/>
        <v>1</v>
      </c>
      <c r="AB30" s="1813">
        <f t="shared" si="4"/>
        <v>1</v>
      </c>
      <c r="AC30" s="1813">
        <f t="shared" si="5"/>
        <v>1</v>
      </c>
    </row>
    <row r="31" spans="1:29" ht="15" hidden="1">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56"/>
      <c r="Q31" s="1812">
        <f t="shared" si="8"/>
        <v>111</v>
      </c>
      <c r="R31" s="774" t="s">
        <v>17</v>
      </c>
      <c r="S31" s="775">
        <f t="shared" si="10"/>
        <v>100</v>
      </c>
      <c r="T31" s="774" t="s">
        <v>17</v>
      </c>
      <c r="U31" s="775">
        <f t="shared" si="11"/>
        <v>100</v>
      </c>
      <c r="V31" s="774" t="s">
        <v>17</v>
      </c>
      <c r="W31" s="775">
        <f t="shared" si="12"/>
        <v>100</v>
      </c>
      <c r="X31" s="1815"/>
      <c r="Y31" s="3156"/>
      <c r="Z31" s="1816">
        <f t="shared" si="13"/>
        <v>111</v>
      </c>
      <c r="AA31" s="1813">
        <f t="shared" si="3"/>
        <v>1</v>
      </c>
      <c r="AB31" s="1813">
        <f t="shared" si="4"/>
        <v>1</v>
      </c>
      <c r="AC31" s="1813">
        <f t="shared" si="5"/>
        <v>1</v>
      </c>
    </row>
    <row r="32" spans="1:29" ht="15" hidden="1">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57" t="s">
        <v>2521</v>
      </c>
      <c r="Q32" s="1812">
        <f t="shared" si="8"/>
        <v>111</v>
      </c>
      <c r="R32" s="774" t="s">
        <v>17</v>
      </c>
      <c r="S32" s="775">
        <f t="shared" si="10"/>
        <v>100</v>
      </c>
      <c r="T32" s="774" t="s">
        <v>17</v>
      </c>
      <c r="U32" s="775">
        <f t="shared" si="11"/>
        <v>100</v>
      </c>
      <c r="V32" s="774" t="s">
        <v>17</v>
      </c>
      <c r="W32" s="775">
        <f t="shared" si="12"/>
        <v>100</v>
      </c>
      <c r="X32" s="1815"/>
      <c r="Y32" s="3158" t="s">
        <v>2521</v>
      </c>
      <c r="Z32" s="1816">
        <f t="shared" si="13"/>
        <v>111</v>
      </c>
      <c r="AA32" s="1813">
        <f t="shared" si="3"/>
        <v>1</v>
      </c>
      <c r="AB32" s="1813">
        <f t="shared" si="4"/>
        <v>1</v>
      </c>
      <c r="AC32" s="1813">
        <f t="shared" si="5"/>
        <v>1</v>
      </c>
    </row>
    <row r="33" spans="1:29" s="471" customFormat="1" ht="15.75" hidden="1"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58"/>
      <c r="Q33" s="1812">
        <f t="shared" si="8"/>
        <v>111</v>
      </c>
      <c r="R33" s="777" t="s">
        <v>17</v>
      </c>
      <c r="S33" s="778">
        <f t="shared" si="10"/>
        <v>100</v>
      </c>
      <c r="T33" s="777" t="s">
        <v>17</v>
      </c>
      <c r="U33" s="778">
        <f t="shared" si="11"/>
        <v>100</v>
      </c>
      <c r="V33" s="777" t="s">
        <v>17</v>
      </c>
      <c r="W33" s="778">
        <f t="shared" si="12"/>
        <v>100</v>
      </c>
      <c r="X33" s="779"/>
      <c r="Y33" s="3158"/>
      <c r="Z33" s="780">
        <f t="shared" si="13"/>
        <v>111</v>
      </c>
      <c r="AA33" s="1813">
        <f t="shared" si="3"/>
        <v>1</v>
      </c>
      <c r="AB33" s="1813">
        <f t="shared" si="4"/>
        <v>1</v>
      </c>
      <c r="AC33" s="1813">
        <f t="shared" si="5"/>
        <v>1</v>
      </c>
    </row>
    <row r="34" spans="1:29" ht="15">
      <c r="A34" s="440" t="s">
        <v>2519</v>
      </c>
      <c r="B34" s="456" t="s">
        <v>2707</v>
      </c>
      <c r="C34" s="679">
        <f>'数据-基础表'!A3</f>
        <v>62946.5</v>
      </c>
      <c r="D34" s="467">
        <v>100</v>
      </c>
      <c r="E34" s="679">
        <f>Sheet1!D6</f>
        <v>80242.399999999994</v>
      </c>
      <c r="F34" s="467">
        <f>LOOKUP(E34,108:108,109:109)-LOOKUP(C34,108:108,109:109)+100</f>
        <v>100</v>
      </c>
      <c r="G34" s="679">
        <f>Sheet1!D29</f>
        <v>167156.70000000001</v>
      </c>
      <c r="H34" s="467">
        <f>LOOKUP(G34,108:108,109:109)-LOOKUP(C34,108:108,109:109)+100</f>
        <v>96</v>
      </c>
      <c r="I34" s="530">
        <f>Sheet1!D30</f>
        <v>58847.79</v>
      </c>
      <c r="J34" s="467">
        <f>LOOKUP(I34,108:108,109:109)-LOOKUP(C34,108:108,109:109)+100</f>
        <v>100</v>
      </c>
      <c r="K34" s="613"/>
      <c r="L34" s="1142"/>
      <c r="M34" s="1133"/>
      <c r="N34" s="1133"/>
      <c r="O34" s="1141"/>
      <c r="P34" s="3158"/>
      <c r="Q34" s="1812" t="str">
        <f>B34</f>
        <v>宗地面积</v>
      </c>
      <c r="R34" s="774" t="s">
        <v>17</v>
      </c>
      <c r="S34" s="775">
        <f t="shared" si="10"/>
        <v>100</v>
      </c>
      <c r="T34" s="774" t="s">
        <v>17</v>
      </c>
      <c r="U34" s="775">
        <f t="shared" si="11"/>
        <v>96</v>
      </c>
      <c r="V34" s="774" t="s">
        <v>17</v>
      </c>
      <c r="W34" s="775">
        <f t="shared" si="12"/>
        <v>100</v>
      </c>
      <c r="X34" s="1815"/>
      <c r="Y34" s="3158"/>
      <c r="Z34" s="1816" t="str">
        <f t="shared" si="13"/>
        <v>宗地面积</v>
      </c>
      <c r="AA34" s="1813">
        <f t="shared" si="3"/>
        <v>1</v>
      </c>
      <c r="AB34" s="1813">
        <f t="shared" si="4"/>
        <v>1.0416666666666667</v>
      </c>
      <c r="AC34" s="1813">
        <f t="shared" si="5"/>
        <v>1</v>
      </c>
    </row>
    <row r="35" spans="1:29" ht="15">
      <c r="A35" s="472"/>
      <c r="B35" s="422" t="s">
        <v>2708</v>
      </c>
      <c r="C35" s="2613" t="s">
        <v>3195</v>
      </c>
      <c r="D35" s="435">
        <v>100</v>
      </c>
      <c r="E35" s="2613" t="s">
        <v>3195</v>
      </c>
      <c r="F35" s="435">
        <f>SUMIF(110:110,E35,111:111)-SUMIF(110:110,C35,111:111)+100</f>
        <v>100</v>
      </c>
      <c r="G35" s="2613" t="s">
        <v>3195</v>
      </c>
      <c r="H35" s="435">
        <f>SUMIF(110:110,G35,111:111)-SUMIF(110:110,C35,111:111)+100</f>
        <v>100</v>
      </c>
      <c r="I35" s="2613" t="s">
        <v>3195</v>
      </c>
      <c r="J35" s="435">
        <f>SUMIF(110:110,I35,111:111)-SUMIF(110:110,C35,111:111)+100</f>
        <v>100</v>
      </c>
      <c r="K35" s="612">
        <v>1</v>
      </c>
      <c r="L35" s="1142"/>
      <c r="M35" s="1133"/>
      <c r="N35" s="1133"/>
      <c r="O35" s="1141"/>
      <c r="P35" s="3158"/>
      <c r="Q35" s="1812" t="str">
        <f t="shared" ref="Q35:Q40" si="14">B35</f>
        <v>宗地形状</v>
      </c>
      <c r="R35" s="774" t="s">
        <v>17</v>
      </c>
      <c r="S35" s="775">
        <f t="shared" si="10"/>
        <v>100</v>
      </c>
      <c r="T35" s="774" t="s">
        <v>17</v>
      </c>
      <c r="U35" s="775">
        <f t="shared" si="11"/>
        <v>100</v>
      </c>
      <c r="V35" s="774" t="s">
        <v>17</v>
      </c>
      <c r="W35" s="775">
        <f t="shared" si="12"/>
        <v>100</v>
      </c>
      <c r="X35" s="1815"/>
      <c r="Y35" s="3158"/>
      <c r="Z35" s="1816" t="str">
        <f t="shared" si="13"/>
        <v>宗地形状</v>
      </c>
      <c r="AA35" s="1813">
        <f t="shared" si="3"/>
        <v>1</v>
      </c>
      <c r="AB35" s="1813">
        <f t="shared" si="4"/>
        <v>1</v>
      </c>
      <c r="AC35" s="1813">
        <f t="shared" si="5"/>
        <v>1</v>
      </c>
    </row>
    <row r="36" spans="1:29" s="117" customFormat="1" ht="15">
      <c r="A36" s="473"/>
      <c r="B36" s="422" t="s">
        <v>2710</v>
      </c>
      <c r="C36" s="2702" t="s">
        <v>3198</v>
      </c>
      <c r="D36" s="136">
        <v>100</v>
      </c>
      <c r="E36" s="2702" t="s">
        <v>3199</v>
      </c>
      <c r="F36" s="435">
        <f>SUMIF(112:112,E36,113:113)-SUMIF(112:112,C36,113:113)+100</f>
        <v>98</v>
      </c>
      <c r="G36" s="2702" t="s">
        <v>3199</v>
      </c>
      <c r="H36" s="435">
        <f>SUMIF(112:112,G36,113:113)-SUMIF(112:112,C36,113:113)+100</f>
        <v>98</v>
      </c>
      <c r="I36" s="2702" t="s">
        <v>3199</v>
      </c>
      <c r="J36" s="435">
        <f>SUMIF(112:112,I36,113:113)-SUMIF(112:112,C36,113:113)+100</f>
        <v>98</v>
      </c>
      <c r="K36" s="612">
        <v>2</v>
      </c>
      <c r="L36" s="1134"/>
      <c r="M36" s="1135"/>
      <c r="N36" s="1135"/>
      <c r="O36" s="1136"/>
      <c r="P36" s="3158"/>
      <c r="Q36" s="1812" t="str">
        <f t="shared" si="14"/>
        <v>宗地开发程度</v>
      </c>
      <c r="R36" s="770" t="s">
        <v>17</v>
      </c>
      <c r="S36" s="771">
        <f t="shared" si="10"/>
        <v>98</v>
      </c>
      <c r="T36" s="770" t="s">
        <v>17</v>
      </c>
      <c r="U36" s="771">
        <f t="shared" si="11"/>
        <v>98</v>
      </c>
      <c r="V36" s="770" t="s">
        <v>17</v>
      </c>
      <c r="W36" s="771">
        <f t="shared" si="12"/>
        <v>98</v>
      </c>
      <c r="X36" s="772"/>
      <c r="Y36" s="3158"/>
      <c r="Z36" s="55" t="str">
        <f t="shared" si="13"/>
        <v>宗地开发程度</v>
      </c>
      <c r="AA36" s="773">
        <f t="shared" si="3"/>
        <v>1.0204081632653061</v>
      </c>
      <c r="AB36" s="773">
        <f t="shared" si="4"/>
        <v>1.0204081632653061</v>
      </c>
      <c r="AC36" s="773">
        <f t="shared" si="5"/>
        <v>1.0204081632653061</v>
      </c>
    </row>
    <row r="37" spans="1:29" ht="15.75" thickBot="1">
      <c r="A37" s="472"/>
      <c r="B37" s="422" t="s">
        <v>2711</v>
      </c>
      <c r="C37" s="2613" t="s">
        <v>3183</v>
      </c>
      <c r="D37" s="435">
        <v>100</v>
      </c>
      <c r="E37" s="2613" t="s">
        <v>3183</v>
      </c>
      <c r="F37" s="435">
        <f>SUMIF(114:114,E37,115:115)-SUMIF(114:114,C37,115:115)+100</f>
        <v>100</v>
      </c>
      <c r="G37" s="2613" t="s">
        <v>3183</v>
      </c>
      <c r="H37" s="435">
        <f>SUMIF(114:114,G37,115:115)-SUMIF(114:114,C37,115:115)+100</f>
        <v>100</v>
      </c>
      <c r="I37" s="2613" t="s">
        <v>3183</v>
      </c>
      <c r="J37" s="435">
        <f>SUMIF(114:114,I37,115:115)-SUMIF(114:114,C37,115:115)+100</f>
        <v>100</v>
      </c>
      <c r="K37" s="612"/>
      <c r="L37" s="1142"/>
      <c r="M37" s="1133"/>
      <c r="N37" s="1133"/>
      <c r="O37" s="1141"/>
      <c r="P37" s="3158" t="s">
        <v>2521</v>
      </c>
      <c r="Q37" s="1812" t="str">
        <f t="shared" si="14"/>
        <v>工程地质条件</v>
      </c>
      <c r="R37" s="774" t="s">
        <v>17</v>
      </c>
      <c r="S37" s="775">
        <f t="shared" si="10"/>
        <v>100</v>
      </c>
      <c r="T37" s="774" t="s">
        <v>17</v>
      </c>
      <c r="U37" s="775">
        <f t="shared" si="11"/>
        <v>100</v>
      </c>
      <c r="V37" s="774" t="s">
        <v>17</v>
      </c>
      <c r="W37" s="775">
        <f t="shared" si="12"/>
        <v>100</v>
      </c>
      <c r="X37" s="1815"/>
      <c r="Y37" s="3158" t="s">
        <v>2521</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58"/>
      <c r="Q38" s="1812">
        <f t="shared" si="14"/>
        <v>111</v>
      </c>
      <c r="R38" s="774" t="s">
        <v>17</v>
      </c>
      <c r="S38" s="775">
        <f t="shared" si="10"/>
        <v>100</v>
      </c>
      <c r="T38" s="774" t="s">
        <v>17</v>
      </c>
      <c r="U38" s="775">
        <f t="shared" si="11"/>
        <v>100</v>
      </c>
      <c r="V38" s="774" t="s">
        <v>17</v>
      </c>
      <c r="W38" s="775">
        <f t="shared" si="12"/>
        <v>100</v>
      </c>
      <c r="X38" s="1815"/>
      <c r="Y38" s="3158"/>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58"/>
      <c r="Q39" s="1812">
        <f t="shared" si="14"/>
        <v>111</v>
      </c>
      <c r="R39" s="774" t="s">
        <v>17</v>
      </c>
      <c r="S39" s="775">
        <f t="shared" si="10"/>
        <v>100</v>
      </c>
      <c r="T39" s="774" t="s">
        <v>17</v>
      </c>
      <c r="U39" s="775">
        <f t="shared" si="11"/>
        <v>100</v>
      </c>
      <c r="V39" s="774" t="s">
        <v>17</v>
      </c>
      <c r="W39" s="775">
        <f t="shared" si="12"/>
        <v>100</v>
      </c>
      <c r="X39" s="1815"/>
      <c r="Y39" s="3158"/>
      <c r="Z39" s="1816">
        <f t="shared" si="13"/>
        <v>111</v>
      </c>
      <c r="AA39" s="1813">
        <f t="shared" si="3"/>
        <v>1</v>
      </c>
      <c r="AB39" s="1813">
        <f t="shared" si="4"/>
        <v>1</v>
      </c>
      <c r="AC39" s="1813">
        <f t="shared" si="5"/>
        <v>1</v>
      </c>
    </row>
    <row r="40" spans="1:29" s="471" customFormat="1" ht="15.75" hidden="1"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58"/>
      <c r="Q40" s="1812">
        <f t="shared" si="14"/>
        <v>111</v>
      </c>
      <c r="R40" s="777" t="s">
        <v>17</v>
      </c>
      <c r="S40" s="778">
        <f t="shared" si="10"/>
        <v>100</v>
      </c>
      <c r="T40" s="777" t="s">
        <v>17</v>
      </c>
      <c r="U40" s="778">
        <f t="shared" si="11"/>
        <v>100</v>
      </c>
      <c r="V40" s="777" t="s">
        <v>17</v>
      </c>
      <c r="W40" s="778">
        <f t="shared" si="12"/>
        <v>100</v>
      </c>
      <c r="X40" s="779"/>
      <c r="Y40" s="3158"/>
      <c r="Z40" s="780">
        <f t="shared" si="13"/>
        <v>111</v>
      </c>
      <c r="AA40" s="1813">
        <f t="shared" si="3"/>
        <v>1</v>
      </c>
      <c r="AB40" s="1813">
        <f t="shared" si="4"/>
        <v>1</v>
      </c>
      <c r="AC40" s="1813">
        <f t="shared" si="5"/>
        <v>1</v>
      </c>
    </row>
    <row r="41" spans="1:29" ht="15">
      <c r="A41" s="479" t="s">
        <v>2676</v>
      </c>
      <c r="B41" s="2704" t="s">
        <v>3209</v>
      </c>
      <c r="C41" s="682" t="s">
        <v>1</v>
      </c>
      <c r="D41" s="481"/>
      <c r="E41" s="482">
        <f>ROUND(Sheet1!K12,0)</f>
        <v>495</v>
      </c>
      <c r="F41" s="483"/>
      <c r="G41" s="484">
        <f>ROUND(Sheet1!K29,0)</f>
        <v>418</v>
      </c>
      <c r="H41" s="485"/>
      <c r="I41" s="482">
        <f>ROUND(Sheet1!L30,0)</f>
        <v>421</v>
      </c>
      <c r="J41" s="485"/>
      <c r="K41" s="783"/>
      <c r="L41" s="1145"/>
      <c r="M41" s="1133"/>
      <c r="N41" s="1133"/>
      <c r="O41" s="1146"/>
      <c r="P41" s="3152" t="str">
        <f>A41</f>
        <v>成交单价</v>
      </c>
      <c r="Q41" s="3152"/>
      <c r="R41" s="3154">
        <f>E41</f>
        <v>495</v>
      </c>
      <c r="S41" s="3154"/>
      <c r="T41" s="3154">
        <f>G41</f>
        <v>418</v>
      </c>
      <c r="U41" s="3154"/>
      <c r="V41" s="3154">
        <f>I41</f>
        <v>421</v>
      </c>
      <c r="W41" s="3154"/>
      <c r="X41" s="759"/>
      <c r="Y41" s="781"/>
      <c r="Z41" s="759"/>
      <c r="AA41" s="759"/>
      <c r="AB41" s="759"/>
      <c r="AC41" s="759"/>
    </row>
    <row r="42" spans="1:29" ht="15.75" thickBot="1">
      <c r="A42" s="486" t="s">
        <v>2625</v>
      </c>
      <c r="B42" s="683"/>
      <c r="C42" s="490">
        <f>R43</f>
        <v>438</v>
      </c>
      <c r="D42" s="489"/>
      <c r="E42" s="490">
        <f>R42</f>
        <v>484</v>
      </c>
      <c r="F42" s="491"/>
      <c r="G42" s="488">
        <f>T42</f>
        <v>415</v>
      </c>
      <c r="H42" s="489"/>
      <c r="I42" s="490">
        <f>V42</f>
        <v>414</v>
      </c>
      <c r="J42" s="489"/>
      <c r="K42" s="784"/>
      <c r="L42" s="1145"/>
      <c r="M42" s="1133"/>
      <c r="N42" s="1133"/>
      <c r="O42" s="1146"/>
      <c r="P42" s="3152" t="str">
        <f>A42</f>
        <v>比较价值（元/平方米）</v>
      </c>
      <c r="Q42" s="3152"/>
      <c r="R42" s="3153">
        <f>ROUND(PRODUCT(R41,AA7:AA40),0)</f>
        <v>484</v>
      </c>
      <c r="S42" s="3153"/>
      <c r="T42" s="3153">
        <f>ROUND(PRODUCT(T41,AB7:AB40),0)</f>
        <v>415</v>
      </c>
      <c r="U42" s="3153"/>
      <c r="V42" s="3153">
        <f>ROUND(PRODUCT(V41,AC7:AC40),0)</f>
        <v>414</v>
      </c>
      <c r="W42" s="3153"/>
      <c r="X42" s="759"/>
      <c r="Y42" s="759"/>
      <c r="Z42" s="759"/>
      <c r="AA42" s="759"/>
      <c r="AB42" s="759"/>
      <c r="AC42" s="759"/>
    </row>
    <row r="43" spans="1:29" ht="15.75" thickBot="1">
      <c r="A43" s="492" t="s">
        <v>2626</v>
      </c>
      <c r="B43" s="493"/>
      <c r="C43" s="494">
        <f>R43</f>
        <v>438</v>
      </c>
      <c r="D43" s="494"/>
      <c r="E43" s="494"/>
      <c r="F43" s="494"/>
      <c r="G43" s="494"/>
      <c r="H43" s="494"/>
      <c r="I43" s="494"/>
      <c r="J43" s="494"/>
      <c r="K43" s="785"/>
      <c r="L43" s="1145"/>
      <c r="M43" s="1133"/>
      <c r="N43" s="1133"/>
      <c r="O43" s="1146"/>
      <c r="P43" s="3149" t="str">
        <f>A43</f>
        <v>估价对象XX用房的比较价值（楼面单价，元/平方米）</v>
      </c>
      <c r="Q43" s="3150"/>
      <c r="R43" s="3151">
        <f>ROUND(AVERAGE(R42:V42),0)</f>
        <v>438</v>
      </c>
      <c r="S43" s="3151"/>
      <c r="T43" s="3151"/>
      <c r="U43" s="3151"/>
      <c r="V43" s="3151"/>
      <c r="W43" s="315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f>IF(E41&lt;E42,E42/E41-1,E41/E42-1)</f>
        <v>2.2727272727272707E-2</v>
      </c>
      <c r="F46" s="500" t="str">
        <f>IF(OR(E46&gt;=0.3,E46&lt;=-0.3),"超过30%","")</f>
        <v/>
      </c>
      <c r="G46" s="499">
        <f>IF(G41&lt;G42,G42/G41-1,G41/G42-1)</f>
        <v>7.2289156626506035E-3</v>
      </c>
      <c r="H46" s="500" t="str">
        <f>IF(OR(G46&gt;=0.3,G46&lt;=-0.3),"超过30%","")</f>
        <v/>
      </c>
      <c r="I46" s="499">
        <f>IF(I41&lt;I42,I42/I41-1,I41/I42-1)</f>
        <v>1.6908212560386549E-2</v>
      </c>
      <c r="J46" s="500" t="str">
        <f>IF(OR(I46&gt;=0.3,I46&lt;=-0.3),"超过30%","")</f>
        <v/>
      </c>
      <c r="K46" s="1107"/>
      <c r="L46" s="1108"/>
      <c r="M46" s="1133"/>
      <c r="N46" s="1133"/>
      <c r="O46" s="1146"/>
    </row>
    <row r="47" spans="1:29" ht="13.5" customHeight="1">
      <c r="A47" s="1146"/>
      <c r="B47" s="1146"/>
      <c r="C47" s="497" t="s">
        <v>2628</v>
      </c>
      <c r="D47" s="501"/>
      <c r="E47" s="499">
        <f>IF(E42&lt;G42,G42/E42-1,E42/G42-1)</f>
        <v>0.16626506024096388</v>
      </c>
      <c r="F47" s="500" t="str">
        <f>IF(OR(E47&gt;=0.2,E47&lt;=-0.2),"超过20%","")</f>
        <v/>
      </c>
      <c r="G47" s="499">
        <f>IF(G42&lt;I42,I42/G42-1,G42/I42-1)</f>
        <v>2.4154589371980784E-3</v>
      </c>
      <c r="H47" s="500" t="str">
        <f>IF(OR(G47&gt;=0.2,G47&lt;=-0.2),"超过20%","")</f>
        <v/>
      </c>
      <c r="I47" s="499">
        <f>IF(I42&lt;E42,E42/I42-1,I42/E42-1)</f>
        <v>0.16908212560386482</v>
      </c>
      <c r="J47" s="500" t="str">
        <f>IF(OR(I47&gt;=0.2,I47&lt;=-0.2),"超过20%","")</f>
        <v/>
      </c>
      <c r="K47" s="1107"/>
      <c r="L47" s="1108"/>
      <c r="M47" s="1146"/>
      <c r="N47" s="1146"/>
      <c r="O47" s="1146"/>
    </row>
    <row r="48" spans="1:29" s="502" customFormat="1" ht="13.5" customHeight="1">
      <c r="A48" s="1147"/>
      <c r="B48" s="1147"/>
      <c r="C48" s="497" t="s">
        <v>2629</v>
      </c>
      <c r="D48" s="501"/>
      <c r="E48" s="499">
        <f>IF(E41&lt;G41,G41/E41-1,E41/G41-1)</f>
        <v>0.18421052631578938</v>
      </c>
      <c r="F48" s="500" t="str">
        <f>IF(OR(E48&gt;=0.3,E48&lt;=-0.3),"超过30%","")</f>
        <v/>
      </c>
      <c r="G48" s="499">
        <f>IF(G41&lt;I41,I41/G41-1,G41/I41-1)</f>
        <v>7.1770334928229484E-3</v>
      </c>
      <c r="H48" s="500" t="str">
        <f>IF(OR(G48&gt;=0.3,G48&lt;=-0.3),"超过30%","")</f>
        <v/>
      </c>
      <c r="I48" s="499">
        <f>IF(I41&lt;E41,E41/I41-1,I41/E41-1)</f>
        <v>0.17577197149643697</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5" t="s">
        <v>2716</v>
      </c>
      <c r="D50" s="2706" t="s">
        <v>2717</v>
      </c>
      <c r="E50" s="686" t="s">
        <v>2718</v>
      </c>
      <c r="F50" s="687" t="s">
        <v>2719</v>
      </c>
      <c r="G50" s="3162" t="s">
        <v>2720</v>
      </c>
      <c r="H50" s="3176"/>
      <c r="I50" s="1816" t="s">
        <v>2756</v>
      </c>
      <c r="J50" s="1816" t="str">
        <f>项目基本情况!F35</f>
        <v>河北省廊坊市</v>
      </c>
      <c r="K50" s="2708" t="s">
        <v>2722</v>
      </c>
      <c r="L50" s="1108"/>
      <c r="M50" s="1146"/>
      <c r="N50" s="1146"/>
      <c r="O50" s="1146"/>
    </row>
    <row r="51" spans="1:17" s="692" customFormat="1">
      <c r="A51" s="688" t="s">
        <v>2723</v>
      </c>
      <c r="B51" s="689">
        <f>C43</f>
        <v>438</v>
      </c>
      <c r="C51" s="690">
        <v>1</v>
      </c>
      <c r="D51" s="1165">
        <v>1</v>
      </c>
      <c r="E51" s="690">
        <f>'数据-汇总表'!E8+'数据-汇总表'!E9</f>
        <v>43891.519999999997</v>
      </c>
      <c r="F51" s="691">
        <f t="shared" ref="F51:F60" si="15">ROUND(B51*E51/10000,0)</f>
        <v>1922</v>
      </c>
      <c r="G51" s="3177"/>
      <c r="H51" s="3152"/>
      <c r="I51" s="945">
        <v>1</v>
      </c>
      <c r="J51" s="945">
        <v>1</v>
      </c>
      <c r="K51" s="1147"/>
      <c r="L51" s="944"/>
      <c r="M51" s="944"/>
      <c r="N51" s="944"/>
      <c r="O51" s="944"/>
    </row>
    <row r="52" spans="1:17" s="692" customFormat="1">
      <c r="A52" s="693" t="s">
        <v>2724</v>
      </c>
      <c r="B52" s="262">
        <f>ROUND($C$43*C52*D52,0)</f>
        <v>0</v>
      </c>
      <c r="C52" s="200">
        <f t="shared" ref="C52:C60" si="16">IF($C$50="北京市系数",I52,J52)</f>
        <v>0</v>
      </c>
      <c r="D52" s="1166">
        <v>0.25</v>
      </c>
      <c r="E52" s="694"/>
      <c r="F52" s="691">
        <f t="shared" si="15"/>
        <v>0</v>
      </c>
      <c r="G52" s="3178" t="s">
        <v>2725</v>
      </c>
      <c r="H52" s="1106">
        <f>项目基本情况!B37</f>
        <v>0</v>
      </c>
      <c r="I52" s="945">
        <f>SUMIF(修正!A45:A56,H52,修正!B45:B56)</f>
        <v>0</v>
      </c>
      <c r="J52" s="946"/>
      <c r="K52" s="1146"/>
      <c r="L52" s="944"/>
      <c r="M52" s="944"/>
      <c r="N52" s="944"/>
      <c r="O52" s="944"/>
    </row>
    <row r="53" spans="1:17" s="692" customFormat="1">
      <c r="A53" s="693" t="s">
        <v>2726</v>
      </c>
      <c r="B53" s="262">
        <f t="shared" ref="B53:B60" si="17">ROUND($C$43*C53*D53,0)</f>
        <v>0</v>
      </c>
      <c r="C53" s="200">
        <f t="shared" si="16"/>
        <v>0</v>
      </c>
      <c r="D53" s="1166">
        <v>0.25</v>
      </c>
      <c r="E53" s="694"/>
      <c r="F53" s="691">
        <f t="shared" si="15"/>
        <v>0</v>
      </c>
      <c r="G53" s="3178"/>
      <c r="H53" s="1106">
        <f>项目基本情况!B37</f>
        <v>0</v>
      </c>
      <c r="I53" s="945">
        <f>SUMIF(修正!A45:A56,H53,修正!C45:C56)</f>
        <v>0</v>
      </c>
      <c r="J53" s="946"/>
      <c r="K53" s="1147"/>
      <c r="L53" s="944"/>
      <c r="M53" s="944"/>
      <c r="N53" s="944"/>
      <c r="O53" s="944"/>
    </row>
    <row r="54" spans="1:17" s="692" customFormat="1">
      <c r="A54" s="693" t="s">
        <v>2727</v>
      </c>
      <c r="B54" s="262">
        <f t="shared" si="17"/>
        <v>0</v>
      </c>
      <c r="C54" s="200">
        <f t="shared" si="16"/>
        <v>0</v>
      </c>
      <c r="D54" s="1166">
        <v>0.25</v>
      </c>
      <c r="E54" s="694"/>
      <c r="F54" s="691">
        <f t="shared" si="15"/>
        <v>0</v>
      </c>
      <c r="G54" s="3178"/>
      <c r="H54" s="1106">
        <f>项目基本情况!B37</f>
        <v>0</v>
      </c>
      <c r="I54" s="945">
        <f>SUMIF(修正!A45:A56,H54,修正!D45:D56)</f>
        <v>0</v>
      </c>
      <c r="J54" s="946"/>
      <c r="K54" s="1146"/>
      <c r="L54" s="944"/>
      <c r="M54" s="944"/>
      <c r="N54" s="944"/>
      <c r="O54" s="944"/>
    </row>
    <row r="55" spans="1:17" s="692" customFormat="1">
      <c r="A55" s="693" t="s">
        <v>2728</v>
      </c>
      <c r="B55" s="262">
        <f t="shared" si="17"/>
        <v>0</v>
      </c>
      <c r="C55" s="200">
        <f t="shared" si="16"/>
        <v>0</v>
      </c>
      <c r="D55" s="1166">
        <v>0.25</v>
      </c>
      <c r="E55" s="694"/>
      <c r="F55" s="691">
        <f t="shared" si="15"/>
        <v>0</v>
      </c>
      <c r="G55" s="3178"/>
      <c r="H55" s="1106">
        <f>项目基本情况!B37</f>
        <v>0</v>
      </c>
      <c r="I55" s="945">
        <f>SUMIF(修正!A45:A56,H55,修正!E45:E56)</f>
        <v>0</v>
      </c>
      <c r="J55" s="946"/>
      <c r="K55" s="1147"/>
      <c r="L55" s="944"/>
      <c r="M55" s="944"/>
      <c r="N55" s="944"/>
      <c r="O55" s="944"/>
    </row>
    <row r="56" spans="1:17" s="692" customFormat="1">
      <c r="A56" s="693" t="s">
        <v>2729</v>
      </c>
      <c r="B56" s="262">
        <f t="shared" si="17"/>
        <v>0</v>
      </c>
      <c r="C56" s="200">
        <f t="shared" si="16"/>
        <v>0</v>
      </c>
      <c r="D56" s="1166">
        <v>0.25</v>
      </c>
      <c r="E56" s="261">
        <f>'数据-汇总表'!E11</f>
        <v>0</v>
      </c>
      <c r="F56" s="691">
        <f t="shared" si="15"/>
        <v>0</v>
      </c>
      <c r="G56" s="2709" t="s">
        <v>2730</v>
      </c>
      <c r="H56" s="1106">
        <f>项目基本情况!C37</f>
        <v>0</v>
      </c>
      <c r="I56" s="945">
        <f>SUMIF(修正!A45:A56,H56,修正!F45:F56)</f>
        <v>0</v>
      </c>
      <c r="J56" s="946"/>
      <c r="K56" s="1146"/>
      <c r="L56" s="944"/>
      <c r="M56" s="944"/>
      <c r="N56" s="944"/>
      <c r="O56" s="944"/>
    </row>
    <row r="57" spans="1:17" s="692" customFormat="1">
      <c r="A57" s="693" t="s">
        <v>2731</v>
      </c>
      <c r="B57" s="262">
        <f t="shared" si="17"/>
        <v>0</v>
      </c>
      <c r="C57" s="200">
        <f t="shared" si="16"/>
        <v>0</v>
      </c>
      <c r="D57" s="1166">
        <v>0.25</v>
      </c>
      <c r="E57" s="261">
        <f>'数据-汇总表'!E12</f>
        <v>0</v>
      </c>
      <c r="F57" s="691">
        <f t="shared" si="15"/>
        <v>0</v>
      </c>
      <c r="G57" s="1111" t="s">
        <v>2732</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2733</v>
      </c>
      <c r="B58" s="262">
        <f t="shared" si="17"/>
        <v>0</v>
      </c>
      <c r="C58" s="200">
        <f t="shared" si="16"/>
        <v>0</v>
      </c>
      <c r="D58" s="1166">
        <v>0.25</v>
      </c>
      <c r="E58" s="261">
        <f>'数据-汇总表'!E13</f>
        <v>0</v>
      </c>
      <c r="F58" s="691">
        <f t="shared" si="15"/>
        <v>0</v>
      </c>
      <c r="G58" s="1111" t="s">
        <v>2734</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2735</v>
      </c>
      <c r="B59" s="262">
        <f t="shared" si="17"/>
        <v>0</v>
      </c>
      <c r="C59" s="200">
        <f t="shared" si="16"/>
        <v>0</v>
      </c>
      <c r="D59" s="1166">
        <v>0.25</v>
      </c>
      <c r="E59" s="261">
        <f>'数据-汇总表'!E14</f>
        <v>0</v>
      </c>
      <c r="F59" s="691">
        <f t="shared" si="15"/>
        <v>0</v>
      </c>
      <c r="G59" s="2709" t="s">
        <v>2725</v>
      </c>
      <c r="H59" s="1106">
        <f>项目基本情况!B37</f>
        <v>0</v>
      </c>
      <c r="I59" s="945">
        <f>SUMIF(修正!A45:A56,H59,修正!H45:H56)</f>
        <v>0</v>
      </c>
      <c r="J59" s="946"/>
      <c r="K59" s="1147"/>
      <c r="L59" s="944"/>
      <c r="M59" s="944"/>
      <c r="N59" s="944"/>
      <c r="O59" s="944"/>
    </row>
    <row r="60" spans="1:17" s="692" customFormat="1" ht="15" thickBot="1">
      <c r="A60" s="693" t="s">
        <v>2736</v>
      </c>
      <c r="B60" s="262">
        <f t="shared" si="17"/>
        <v>0</v>
      </c>
      <c r="C60" s="200">
        <f t="shared" si="16"/>
        <v>0</v>
      </c>
      <c r="D60" s="1166">
        <v>0.25</v>
      </c>
      <c r="E60" s="261">
        <f>'数据-汇总表'!E15</f>
        <v>0</v>
      </c>
      <c r="F60" s="691">
        <f t="shared" si="15"/>
        <v>0</v>
      </c>
      <c r="G60" s="2710" t="s">
        <v>2730</v>
      </c>
      <c r="H60" s="1116">
        <f>项目基本情况!C37</f>
        <v>0</v>
      </c>
      <c r="I60" s="945">
        <f>SUMIF(修正!A45:A56,H60,修正!H45:H56)</f>
        <v>0</v>
      </c>
      <c r="J60" s="946"/>
      <c r="K60" s="1146"/>
      <c r="L60" s="944"/>
      <c r="M60" s="944"/>
      <c r="N60" s="944"/>
      <c r="O60" s="944"/>
    </row>
    <row r="61" spans="1:17" s="692" customFormat="1" ht="15" thickBot="1">
      <c r="A61" s="695" t="s">
        <v>2737</v>
      </c>
      <c r="B61" s="696" t="s">
        <v>27</v>
      </c>
      <c r="C61" s="696" t="s">
        <v>28</v>
      </c>
      <c r="D61" s="696" t="s">
        <v>1028</v>
      </c>
      <c r="E61" s="696">
        <f>IF(B41="楼面地价",SUM(E51:E60),'数据-汇总表'!D3)</f>
        <v>62946.5</v>
      </c>
      <c r="F61" s="697">
        <f>IF(B41="楼面地价",SUM(F51:F60),ROUND(C43*E61/10000,0))</f>
        <v>2757</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11" t="s">
        <v>2738</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2757</v>
      </c>
      <c r="B66" s="332" t="str">
        <f>"北京市平均增长率"&amp;TEXT(基准地价修正!P24,"0.00%")</f>
        <v>北京市平均增长率1.35%</v>
      </c>
      <c r="C66" s="603">
        <v>100</v>
      </c>
      <c r="D66" s="595">
        <v>99.5</v>
      </c>
      <c r="E66" s="595">
        <v>99</v>
      </c>
      <c r="F66" s="595">
        <v>98.5</v>
      </c>
      <c r="G66" s="595">
        <v>98</v>
      </c>
      <c r="H66" s="595">
        <v>97.5</v>
      </c>
      <c r="I66" s="595">
        <v>97</v>
      </c>
      <c r="J66" s="595">
        <v>96.5</v>
      </c>
      <c r="K66" s="595">
        <v>96</v>
      </c>
      <c r="L66" s="595">
        <v>95.5</v>
      </c>
      <c r="M66" s="1569">
        <v>95</v>
      </c>
      <c r="N66" s="1569">
        <v>94.5</v>
      </c>
      <c r="O66" s="1571">
        <v>94</v>
      </c>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2956" t="s">
        <v>3186</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v>0</v>
      </c>
      <c r="D75" s="549">
        <v>1</v>
      </c>
      <c r="E75" s="549">
        <v>2</v>
      </c>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2758</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5"/>
      <c r="O96" s="1155"/>
      <c r="P96" s="45"/>
      <c r="Q96" s="504"/>
    </row>
    <row r="97" spans="1:17" ht="27.75" thickTop="1">
      <c r="A97" s="534"/>
      <c r="B97" s="538" t="s">
        <v>2647</v>
      </c>
      <c r="C97" s="2957" t="s">
        <v>3187</v>
      </c>
      <c r="D97" s="2957" t="s">
        <v>3188</v>
      </c>
      <c r="E97" s="2957" t="s">
        <v>3189</v>
      </c>
      <c r="F97" s="2957" t="s">
        <v>3191</v>
      </c>
      <c r="G97" s="2957" t="s">
        <v>3193</v>
      </c>
      <c r="H97" s="583"/>
      <c r="I97" s="583"/>
      <c r="J97" s="583"/>
      <c r="K97" s="584"/>
      <c r="L97" s="585"/>
      <c r="M97" s="586"/>
      <c r="N97" s="1154"/>
      <c r="O97" s="1154"/>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2519</v>
      </c>
      <c r="B107" s="528" t="s">
        <v>2747</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4"/>
      <c r="O108" s="1154"/>
      <c r="P108" s="45"/>
      <c r="Q108" s="504"/>
    </row>
    <row r="109" spans="1:17" ht="15.75" thickBot="1">
      <c r="A109" s="534"/>
      <c r="B109" s="543"/>
      <c r="C109" s="570">
        <v>98</v>
      </c>
      <c r="D109" s="591">
        <v>100</v>
      </c>
      <c r="E109" s="591">
        <v>98</v>
      </c>
      <c r="F109" s="591">
        <v>96</v>
      </c>
      <c r="G109" s="591">
        <v>94</v>
      </c>
      <c r="H109" s="591"/>
      <c r="I109" s="591"/>
      <c r="J109" s="591"/>
      <c r="K109" s="591"/>
      <c r="L109" s="591"/>
      <c r="M109" s="592"/>
      <c r="N109" s="1155"/>
      <c r="O109" s="1155"/>
      <c r="P109" s="45"/>
      <c r="Q109" s="504"/>
    </row>
    <row r="110" spans="1:17" ht="15" thickTop="1">
      <c r="A110" s="599"/>
      <c r="B110" s="538" t="s">
        <v>2748</v>
      </c>
      <c r="C110" s="583" t="s">
        <v>3194</v>
      </c>
      <c r="D110" s="583" t="s">
        <v>3195</v>
      </c>
      <c r="E110" s="583" t="s">
        <v>3196</v>
      </c>
      <c r="F110" s="583" t="s">
        <v>3197</v>
      </c>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5"/>
      <c r="O111" s="1155"/>
      <c r="P111" s="45"/>
      <c r="Q111" s="504"/>
    </row>
    <row r="112" spans="1:17" s="471" customFormat="1" ht="15" thickTop="1">
      <c r="A112" s="593"/>
      <c r="B112" s="538" t="s">
        <v>2750</v>
      </c>
      <c r="C112" s="554" t="s">
        <v>3182</v>
      </c>
      <c r="D112" s="554" t="s">
        <v>3198</v>
      </c>
      <c r="E112" s="554" t="s">
        <v>3199</v>
      </c>
      <c r="F112" s="554" t="s">
        <v>3200</v>
      </c>
      <c r="G112" s="554" t="s">
        <v>3201</v>
      </c>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98</v>
      </c>
      <c r="E113" s="544">
        <f t="shared" si="27"/>
        <v>96</v>
      </c>
      <c r="F113" s="544">
        <f t="shared" si="27"/>
        <v>94</v>
      </c>
      <c r="G113" s="544">
        <f t="shared" si="27"/>
        <v>92</v>
      </c>
      <c r="H113" s="544">
        <f t="shared" si="27"/>
        <v>90</v>
      </c>
      <c r="I113" s="544">
        <f t="shared" si="27"/>
        <v>88</v>
      </c>
      <c r="J113" s="544">
        <f t="shared" si="27"/>
        <v>86</v>
      </c>
      <c r="K113" s="544">
        <f t="shared" si="27"/>
        <v>84</v>
      </c>
      <c r="L113" s="544">
        <f t="shared" si="27"/>
        <v>82</v>
      </c>
      <c r="M113" s="545">
        <f t="shared" si="27"/>
        <v>80</v>
      </c>
      <c r="N113" s="1156"/>
      <c r="O113" s="1156"/>
      <c r="P113" s="558"/>
      <c r="Q113" s="559"/>
    </row>
    <row r="114" spans="1:17" ht="15" thickTop="1">
      <c r="A114" s="599"/>
      <c r="B114" s="538" t="s">
        <v>2751</v>
      </c>
      <c r="C114" s="554" t="s">
        <v>3202</v>
      </c>
      <c r="D114" s="554" t="s">
        <v>3183</v>
      </c>
      <c r="E114" s="583" t="s">
        <v>3185</v>
      </c>
      <c r="F114" s="583" t="s">
        <v>3203</v>
      </c>
      <c r="G114" s="583" t="s">
        <v>3204</v>
      </c>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3" t="str">
        <f>项目基本情况!B1</f>
        <v>河北省廊坊市廊坊开发区华祥路东侧、耀华道北侧工业用房房地产抵押价值预评估</v>
      </c>
      <c r="C37" s="2963"/>
      <c r="D37" s="2963"/>
      <c r="E37" s="2963"/>
      <c r="F37" s="2963"/>
      <c r="G37" s="2963"/>
      <c r="H37" s="2963"/>
      <c r="I37" s="2963"/>
    </row>
    <row r="38" spans="1:9">
      <c r="A38" s="1019"/>
      <c r="B38" s="1019"/>
    </row>
    <row r="39" spans="1:9">
      <c r="A39" s="1017" t="s">
        <v>817</v>
      </c>
      <c r="B39" s="1017" t="s">
        <v>819</v>
      </c>
    </row>
    <row r="40" spans="1:9">
      <c r="A40" s="1017"/>
      <c r="B40" s="1944" t="str">
        <f>项目基本情况!B5</f>
        <v>北京联东金泰投资有限公司</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欧红伟（注册号：1120000080)、崔锴（注册号：1120100036)</v>
      </c>
    </row>
    <row r="47" spans="1:9">
      <c r="A47" s="1017"/>
      <c r="B47" s="1017" t="str">
        <f>项目基本情况!K5</f>
        <v/>
      </c>
    </row>
    <row r="48" spans="1:9">
      <c r="A48" s="1017" t="s">
        <v>817</v>
      </c>
      <c r="B48" s="1017" t="s">
        <v>823</v>
      </c>
    </row>
    <row r="49" spans="2:2">
      <c r="B49" s="1944" t="str">
        <f>"康正预评字"&amp;项目基本情况!B2&amp;"号"</f>
        <v>康正预评字2018-1-0390-P01DYGJ1号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9" t="s">
        <v>6</v>
      </c>
      <c r="C1" s="242"/>
      <c r="D1" s="242"/>
      <c r="E1" s="242"/>
      <c r="F1" s="242"/>
      <c r="G1" s="1381">
        <f>MATCH(B1,'数据-取费表'!A6:A16,0)+5</f>
        <v>6</v>
      </c>
    </row>
    <row r="2" spans="1:9" s="244" customFormat="1" ht="18" customHeight="1">
      <c r="A2" s="245" t="s">
        <v>2283</v>
      </c>
      <c r="B2" s="246">
        <f ca="1">IF(D2="——",C52,C52-E2)</f>
        <v>12087</v>
      </c>
      <c r="C2" s="243" t="s">
        <v>2284</v>
      </c>
      <c r="D2" s="2547" t="s">
        <v>69</v>
      </c>
      <c r="E2" s="1442" t="e">
        <f ca="1">SUMIF(INDIRECT("'"&amp;G2&amp;"'"&amp;"!A:A"),"承租人权益价值",INDIRECT("'"&amp;G2&amp;"'"&amp;"!c:c"))</f>
        <v>#REF!</v>
      </c>
      <c r="F2" s="2548" t="s">
        <v>2284</v>
      </c>
      <c r="G2" s="2549"/>
    </row>
    <row r="3" spans="1:9" s="244" customFormat="1" ht="18" customHeight="1" thickBot="1">
      <c r="A3" s="247" t="s">
        <v>2285</v>
      </c>
      <c r="B3" s="248">
        <f ca="1">ROUND(B2*10000/(IF(B1="",'数据-汇总表'!E3,INDIRECT("'数据-取费表'!k"&amp;$G$1))),0)</f>
        <v>2754</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2869</v>
      </c>
      <c r="D5" s="255" t="s">
        <v>2290</v>
      </c>
      <c r="E5" s="256" t="s">
        <v>2291</v>
      </c>
      <c r="F5" s="256" t="s">
        <v>2292</v>
      </c>
      <c r="G5" s="257"/>
    </row>
    <row r="6" spans="1:9" s="258" customFormat="1" ht="13.5" customHeight="1">
      <c r="A6" s="952" t="s">
        <v>2293</v>
      </c>
      <c r="B6" s="259" t="s">
        <v>2294</v>
      </c>
      <c r="C6" s="260">
        <f>'土地比较法-工业'!B2</f>
        <v>2757</v>
      </c>
      <c r="D6" s="261"/>
      <c r="E6" s="262"/>
      <c r="F6" s="262"/>
      <c r="G6" s="263"/>
    </row>
    <row r="7" spans="1:9" s="258" customFormat="1" ht="13.5" customHeight="1">
      <c r="A7" s="952" t="s">
        <v>2295</v>
      </c>
      <c r="B7" s="259" t="s">
        <v>2296</v>
      </c>
      <c r="C7" s="264">
        <f>ROUND(C6*F7,0)</f>
        <v>112</v>
      </c>
      <c r="D7" s="264"/>
      <c r="E7" s="262"/>
      <c r="F7" s="265">
        <f>'数据-取费表'!B48+'数据-取费表'!B49</f>
        <v>4.0500000000000001E-2</v>
      </c>
      <c r="G7" s="263"/>
    </row>
    <row r="8" spans="1:9" s="267" customFormat="1">
      <c r="A8" s="952" t="s">
        <v>2297</v>
      </c>
      <c r="B8" s="259" t="s">
        <v>2298</v>
      </c>
      <c r="C8" s="264" t="str">
        <f>IF(G8="已包含在土地购买价格中","0",IF(B1="",'数据-取费表'!B29,IF(G9="全部缴纳",C9+C10,H9)))</f>
        <v>0</v>
      </c>
      <c r="D8" s="266"/>
      <c r="E8" s="264"/>
      <c r="F8" s="265"/>
      <c r="G8" s="2550" t="s">
        <v>1147</v>
      </c>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0</v>
      </c>
      <c r="F9" s="265"/>
      <c r="G9" s="2551" t="s">
        <v>3163</v>
      </c>
      <c r="H9" s="1392"/>
      <c r="I9" s="2552" t="s">
        <v>2300</v>
      </c>
    </row>
    <row r="10" spans="1:9" s="258" customFormat="1" ht="13.5" customHeight="1">
      <c r="A10" s="953" t="s">
        <v>800</v>
      </c>
      <c r="B10" s="268" t="s">
        <v>2301</v>
      </c>
      <c r="C10" s="269">
        <f ca="1">ROUND(D10*E10/10000,0)</f>
        <v>97</v>
      </c>
      <c r="D10" s="1035">
        <f ca="1">IF(B1="",'数据-汇总表'!E6,IF(INDIRECT("'数据-取费表'!c"&amp;$G$1)="住宅",INDIRECT("'数据-取费表'!s"&amp;$G$1),INDIRECT("'数据-取费表'!k"&amp;$G$1)+INDIRECT("'数据-取费表'!s"&amp;$G$1)))</f>
        <v>45029.380000000005</v>
      </c>
      <c r="E10" s="269">
        <f>'数据-取费表'!B28</f>
        <v>21.6</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t="str">
        <f>IF(G19="已包含在土地取得成本中","0",ROUND(D19*E19/10000,0))</f>
        <v>0</v>
      </c>
      <c r="D19" s="1039">
        <f ca="1">D9+D10</f>
        <v>45029.380000000005</v>
      </c>
      <c r="E19" s="255">
        <f>'数据-取费表'!B31</f>
        <v>150</v>
      </c>
      <c r="F19" s="275"/>
      <c r="G19" s="2550" t="s">
        <v>3164</v>
      </c>
    </row>
    <row r="20" spans="1:7" s="258" customFormat="1" ht="13.5" customHeight="1">
      <c r="A20" s="299" t="s">
        <v>2314</v>
      </c>
      <c r="B20" s="254" t="s">
        <v>2315</v>
      </c>
      <c r="C20" s="276">
        <f>ROUND((C5+C19)*F20,0)</f>
        <v>29</v>
      </c>
      <c r="D20" s="276"/>
      <c r="E20" s="276"/>
      <c r="F20" s="277">
        <f>'数据-取费表'!B37</f>
        <v>0.01</v>
      </c>
      <c r="G20" s="278" t="s">
        <v>2316</v>
      </c>
    </row>
    <row r="21" spans="1:7" s="258" customFormat="1" ht="13.5" customHeight="1">
      <c r="A21" s="299" t="s">
        <v>2317</v>
      </c>
      <c r="B21" s="254" t="s">
        <v>2318</v>
      </c>
      <c r="C21" s="279">
        <f>F21</f>
        <v>0.01</v>
      </c>
      <c r="D21" s="280" t="s">
        <v>2319</v>
      </c>
      <c r="E21" s="276"/>
      <c r="F21" s="277">
        <f>'数据-取费表'!B38</f>
        <v>0.01</v>
      </c>
      <c r="G21" s="278" t="s">
        <v>2320</v>
      </c>
    </row>
    <row r="22" spans="1:7" s="258" customFormat="1" ht="13.5" customHeight="1">
      <c r="A22" s="299" t="s">
        <v>2321</v>
      </c>
      <c r="B22" s="254" t="s">
        <v>2322</v>
      </c>
      <c r="C22" s="1356">
        <f ca="1">ROUND(SUM(C23:C25),0)</f>
        <v>126</v>
      </c>
      <c r="D22" s="279">
        <f ca="1">C26</f>
        <v>2.0000000000000001E-4</v>
      </c>
      <c r="E22" s="280" t="s">
        <v>2319</v>
      </c>
      <c r="F22" s="281">
        <f ca="1">'数据-取费表'!B40</f>
        <v>4.3499999999999997E-2</v>
      </c>
      <c r="G22" s="278" t="str">
        <f>IF('数据-取费表'!B22&lt;=1,"单利计息","复利计息")</f>
        <v>单利计息</v>
      </c>
    </row>
    <row r="23" spans="1:7" s="258" customFormat="1" ht="13.5" customHeight="1">
      <c r="A23" s="954" t="s">
        <v>2323</v>
      </c>
      <c r="B23" s="259" t="s">
        <v>2324</v>
      </c>
      <c r="C23" s="1357">
        <f ca="1">ROUND(IF('数据-取费表'!B22&lt;=1,C5*F22*'数据-取费表'!B23,C5*(POWER((1+F22),'数据-取费表'!B23)-1)),0)</f>
        <v>125</v>
      </c>
      <c r="D23" s="282"/>
      <c r="E23" s="282"/>
      <c r="F23" s="283"/>
      <c r="G23" s="284" t="s">
        <v>2325</v>
      </c>
    </row>
    <row r="24" spans="1:7" s="258" customFormat="1" ht="13.5" customHeight="1">
      <c r="A24" s="954" t="s">
        <v>2326</v>
      </c>
      <c r="B24" s="259" t="s">
        <v>2327</v>
      </c>
      <c r="C24" s="1357">
        <f ca="1">ROUND(IF('数据-取费表'!B22&lt;=1,C19*F22*('数据-取费表'!B19/2+'数据-取费表'!B21),C19*(POWER((1+F22),('数据-取费表'!B19/2+'数据-取费表'!B21))-1)),0)</f>
        <v>0</v>
      </c>
      <c r="D24" s="282"/>
      <c r="E24" s="282"/>
      <c r="F24" s="283"/>
      <c r="G24" s="284" t="s">
        <v>2328</v>
      </c>
    </row>
    <row r="25" spans="1:7" s="258" customFormat="1" ht="24">
      <c r="A25" s="954" t="s">
        <v>2329</v>
      </c>
      <c r="B25" s="259" t="s">
        <v>2330</v>
      </c>
      <c r="C25" s="1357">
        <f ca="1">ROUND(IF('数据-取费表'!B22&lt;=1,C20*F22*'数据-取费表'!B23/2,C20*(POWER((1+F22),'数据-取费表'!B23/2)-1)),0)</f>
        <v>1</v>
      </c>
      <c r="D25" s="282"/>
      <c r="E25" s="285"/>
      <c r="F25" s="283"/>
      <c r="G25" s="286" t="s">
        <v>2331</v>
      </c>
    </row>
    <row r="26" spans="1:7" s="258" customFormat="1">
      <c r="A26" s="954" t="s">
        <v>794</v>
      </c>
      <c r="B26" s="259" t="s">
        <v>2332</v>
      </c>
      <c r="C26" s="282">
        <f ca="1">ROUND(IF('数据-取费表'!B22&lt;=1,F21*F22*'数据-取费表'!B23/2,F21*(POWER((1+F22),'数据-取费表'!B23/2)-1)),4)</f>
        <v>2.0000000000000001E-4</v>
      </c>
      <c r="D26" s="282"/>
      <c r="E26" s="285"/>
      <c r="F26" s="283"/>
      <c r="G26" s="287"/>
    </row>
    <row r="27" spans="1:7" s="258" customFormat="1" ht="24.75">
      <c r="A27" s="299" t="s">
        <v>2333</v>
      </c>
      <c r="B27" s="288" t="s">
        <v>2334</v>
      </c>
      <c r="C27" s="289">
        <f ca="1">C28</f>
        <v>290</v>
      </c>
      <c r="D27" s="279">
        <f ca="1">C29</f>
        <v>1E-3</v>
      </c>
      <c r="E27" s="280" t="s">
        <v>2335</v>
      </c>
      <c r="F27" s="290">
        <f ca="1">IF(B1="",'数据-取费表'!Q16,INDIRECT("'数据-取费表'!q"&amp;$G$1))</f>
        <v>0.1</v>
      </c>
      <c r="G27" s="291" t="s">
        <v>2336</v>
      </c>
    </row>
    <row r="28" spans="1:7" s="258" customFormat="1" ht="13.5" customHeight="1">
      <c r="A28" s="954" t="s">
        <v>790</v>
      </c>
      <c r="B28" s="292" t="s">
        <v>2337</v>
      </c>
      <c r="C28" s="293">
        <f ca="1">ROUND((C5+C19+C20)*F27*'数据-取费表'!B21/'数据-取费表'!B20,0)</f>
        <v>290</v>
      </c>
      <c r="D28" s="279"/>
      <c r="E28" s="280"/>
      <c r="F28" s="290"/>
      <c r="G28" s="291"/>
    </row>
    <row r="29" spans="1:7" s="258" customFormat="1" ht="13.5" customHeight="1">
      <c r="A29" s="954" t="s">
        <v>791</v>
      </c>
      <c r="B29" s="292" t="s">
        <v>2338</v>
      </c>
      <c r="C29" s="282">
        <f ca="1">ROUND(C21*F27*'数据-取费表'!B21/'数据-取费表'!B20,4)</f>
        <v>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3542</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8204</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7205</v>
      </c>
      <c r="D34" s="261"/>
      <c r="E34" s="264"/>
      <c r="F34" s="301">
        <f ca="1">IF('数据-取费表'!B24=0,1,IF(B1="",'数据-取费表'!N16,INDIRECT("'数据-取费表'!n"&amp;$G$1)))</f>
        <v>1</v>
      </c>
      <c r="G34" s="263" t="s">
        <v>2347</v>
      </c>
    </row>
    <row r="35" spans="1:7" ht="13.5" customHeight="1">
      <c r="A35" s="954" t="s">
        <v>795</v>
      </c>
      <c r="B35" s="259" t="s">
        <v>2348</v>
      </c>
      <c r="C35" s="264">
        <f ca="1">ROUND(C34*F35,0)</f>
        <v>216</v>
      </c>
      <c r="D35" s="264"/>
      <c r="E35" s="264"/>
      <c r="F35" s="303">
        <f>'数据-取费表'!B33</f>
        <v>0.03</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675</v>
      </c>
      <c r="D37" s="261">
        <f ca="1">D19</f>
        <v>45029.380000000005</v>
      </c>
      <c r="E37" s="293">
        <f>'数据-取费表'!B35</f>
        <v>150</v>
      </c>
      <c r="F37" s="303"/>
      <c r="G37" s="305" t="s">
        <v>2353</v>
      </c>
    </row>
    <row r="38" spans="1:7" ht="13.5" customHeight="1">
      <c r="A38" s="954" t="s">
        <v>798</v>
      </c>
      <c r="B38" s="259" t="s">
        <v>2354</v>
      </c>
      <c r="C38" s="264">
        <f ca="1">ROUND(C34*F38,0)</f>
        <v>108</v>
      </c>
      <c r="D38" s="264"/>
      <c r="E38" s="264"/>
      <c r="F38" s="303">
        <f>'数据-取费表'!B36</f>
        <v>1.4999999999999999E-2</v>
      </c>
      <c r="G38" s="263" t="s">
        <v>2349</v>
      </c>
    </row>
    <row r="39" spans="1:7" s="258" customFormat="1" ht="13.5" customHeight="1">
      <c r="A39" s="299" t="s">
        <v>2355</v>
      </c>
      <c r="B39" s="254" t="s">
        <v>2356</v>
      </c>
      <c r="C39" s="276">
        <f ca="1">ROUND(C33*F20,0)</f>
        <v>82</v>
      </c>
      <c r="D39" s="276"/>
      <c r="E39" s="276"/>
      <c r="F39" s="277"/>
      <c r="G39" s="278" t="s">
        <v>2357</v>
      </c>
    </row>
    <row r="40" spans="1:7" s="258" customFormat="1" ht="13.5" customHeight="1">
      <c r="A40" s="299" t="s">
        <v>2358</v>
      </c>
      <c r="B40" s="254" t="s">
        <v>2359</v>
      </c>
      <c r="C40" s="1730">
        <f>F21</f>
        <v>0.01</v>
      </c>
      <c r="D40" s="280" t="s">
        <v>2360</v>
      </c>
      <c r="E40" s="276"/>
      <c r="F40" s="277"/>
      <c r="G40" s="278" t="s">
        <v>2361</v>
      </c>
    </row>
    <row r="41" spans="1:7" s="258" customFormat="1" ht="13.5" customHeight="1">
      <c r="A41" s="299" t="s">
        <v>2362</v>
      </c>
      <c r="B41" s="254" t="s">
        <v>2363</v>
      </c>
      <c r="C41" s="276">
        <f ca="1">ROUND(SUM(C42:C43),0)</f>
        <v>180</v>
      </c>
      <c r="D41" s="279">
        <f ca="1">C44</f>
        <v>2.0000000000000001E-4</v>
      </c>
      <c r="E41" s="280" t="s">
        <v>2360</v>
      </c>
      <c r="F41" s="281"/>
      <c r="G41" s="278" t="str">
        <f>IF('数据-取费表'!B22&lt;=1,"单利计息","复利计息")</f>
        <v>单利计息</v>
      </c>
    </row>
    <row r="42" spans="1:7" ht="13.5" customHeight="1">
      <c r="A42" s="954" t="s">
        <v>790</v>
      </c>
      <c r="B42" s="259" t="s">
        <v>2364</v>
      </c>
      <c r="C42" s="282">
        <f ca="1">ROUND(IF('数据-取费表'!B22&lt;=1,C33*F22*'数据-取费表'!B21/2,C33*(POWER((1+F22),'数据-取费表'!B21/2)-1)),0)</f>
        <v>178</v>
      </c>
      <c r="D42" s="282"/>
      <c r="E42" s="282"/>
      <c r="F42" s="283"/>
      <c r="G42" s="3193" t="s">
        <v>2365</v>
      </c>
    </row>
    <row r="43" spans="1:7" ht="13.5" customHeight="1">
      <c r="A43" s="954" t="s">
        <v>791</v>
      </c>
      <c r="B43" s="259" t="s">
        <v>2366</v>
      </c>
      <c r="C43" s="282">
        <f ca="1">ROUND(IF('数据-取费表'!B22&lt;=1,C39*F22*'数据-取费表'!B21/2,C39*(POWER((1+F22),'数据-取费表'!B21/2)-1)),0)</f>
        <v>2</v>
      </c>
      <c r="D43" s="282"/>
      <c r="E43" s="282"/>
      <c r="F43" s="283"/>
      <c r="G43" s="3194"/>
    </row>
    <row r="44" spans="1:7" ht="13.5" customHeight="1">
      <c r="A44" s="954" t="s">
        <v>792</v>
      </c>
      <c r="B44" s="259" t="s">
        <v>2367</v>
      </c>
      <c r="C44" s="282">
        <f ca="1">ROUND(IF('数据-取费表'!B22&lt;=1,C40*F22*'数据-取费表'!B21/2,C40*(POWER((1+F22),'数据-取费表'!B21/2)-1)),4)</f>
        <v>2.0000000000000001E-4</v>
      </c>
      <c r="D44" s="282"/>
      <c r="E44" s="282"/>
      <c r="F44" s="283"/>
      <c r="G44" s="3195"/>
    </row>
    <row r="45" spans="1:7" s="258" customFormat="1" ht="13.5" customHeight="1">
      <c r="A45" s="299" t="s">
        <v>2368</v>
      </c>
      <c r="B45" s="288" t="s">
        <v>2334</v>
      </c>
      <c r="C45" s="289">
        <f ca="1">C46</f>
        <v>829</v>
      </c>
      <c r="D45" s="279">
        <f ca="1">C47</f>
        <v>1E-3</v>
      </c>
      <c r="E45" s="280" t="s">
        <v>2360</v>
      </c>
      <c r="F45" s="290"/>
      <c r="G45" s="291" t="s">
        <v>2369</v>
      </c>
    </row>
    <row r="46" spans="1:7" s="258" customFormat="1" ht="13.5" customHeight="1">
      <c r="A46" s="954" t="s">
        <v>790</v>
      </c>
      <c r="B46" s="292" t="s">
        <v>2370</v>
      </c>
      <c r="C46" s="293">
        <f ca="1">ROUND((C33+C39)*F27,0)</f>
        <v>829</v>
      </c>
      <c r="D46" s="307"/>
      <c r="E46" s="280"/>
      <c r="F46" s="290"/>
      <c r="G46" s="291"/>
    </row>
    <row r="47" spans="1:7" s="258" customFormat="1" ht="13.5" customHeight="1">
      <c r="A47" s="954" t="s">
        <v>791</v>
      </c>
      <c r="B47" s="292" t="s">
        <v>2371</v>
      </c>
      <c r="C47" s="282">
        <f ca="1">ROUND(C40*F27,4)</f>
        <v>1E-3</v>
      </c>
      <c r="D47" s="307"/>
      <c r="E47" s="280"/>
      <c r="F47" s="290"/>
      <c r="G47" s="291"/>
    </row>
    <row r="48" spans="1:7" s="258" customFormat="1" ht="13.5" customHeight="1">
      <c r="A48" s="299" t="s">
        <v>2333</v>
      </c>
      <c r="B48" s="254" t="s">
        <v>2372</v>
      </c>
      <c r="C48" s="1730">
        <f>ROUND(F30/(1+'数据-取费表'!C42),4)</f>
        <v>5.33E-2</v>
      </c>
      <c r="D48" s="280" t="s">
        <v>2360</v>
      </c>
      <c r="E48" s="276"/>
      <c r="F48" s="281"/>
      <c r="G48" s="278" t="s">
        <v>2373</v>
      </c>
    </row>
    <row r="49" spans="1:7" ht="16.5" customHeight="1">
      <c r="A49" s="299" t="s">
        <v>2339</v>
      </c>
      <c r="B49" s="254" t="s">
        <v>2374</v>
      </c>
      <c r="C49" s="276">
        <f ca="1">ROUND((C33+C39+C41+C45)/(1-C40-D41-D45-C48),0)</f>
        <v>9936</v>
      </c>
      <c r="D49" s="276"/>
      <c r="E49" s="276"/>
      <c r="F49" s="308"/>
      <c r="G49" s="278" t="s">
        <v>2375</v>
      </c>
    </row>
    <row r="50" spans="1:7" s="302" customFormat="1" ht="24">
      <c r="A50" s="299" t="s">
        <v>2376</v>
      </c>
      <c r="B50" s="254" t="s">
        <v>2377</v>
      </c>
      <c r="C50" s="276"/>
      <c r="D50" s="276"/>
      <c r="E50" s="276"/>
      <c r="F50" s="308">
        <f>ROUND(IF('数据-取费表'!B24=0,'数据-取费表'!N16,1),2)</f>
        <v>0.86</v>
      </c>
      <c r="G50" s="291" t="s">
        <v>2378</v>
      </c>
    </row>
    <row r="51" spans="1:7" ht="16.5" customHeight="1">
      <c r="A51" s="299" t="s">
        <v>2379</v>
      </c>
      <c r="B51" s="254" t="s">
        <v>2380</v>
      </c>
      <c r="C51" s="276">
        <f ca="1">ROUND(C49*F50,0)</f>
        <v>8545</v>
      </c>
      <c r="D51" s="276"/>
      <c r="E51" s="276"/>
      <c r="F51" s="308"/>
      <c r="G51" s="278" t="s">
        <v>2381</v>
      </c>
    </row>
    <row r="52" spans="1:7" s="252" customFormat="1" ht="16.5" thickBot="1">
      <c r="A52" s="309" t="s">
        <v>2382</v>
      </c>
      <c r="B52" s="310"/>
      <c r="C52" s="311">
        <f ca="1">C31+C51</f>
        <v>12087</v>
      </c>
      <c r="D52" s="310"/>
      <c r="E52" s="310"/>
      <c r="F52" s="310"/>
      <c r="G52" s="312"/>
    </row>
    <row r="55" spans="1:7" ht="15">
      <c r="B55" s="314" t="s">
        <v>2383</v>
      </c>
      <c r="C55" s="315"/>
    </row>
    <row r="56" spans="1:7">
      <c r="B56" s="317" t="s">
        <v>1512</v>
      </c>
      <c r="C56" s="319">
        <f ca="1">1-C57</f>
        <v>0.29300000000000004</v>
      </c>
    </row>
    <row r="57" spans="1:7">
      <c r="B57" s="317" t="s">
        <v>1513</v>
      </c>
      <c r="C57" s="318">
        <f ca="1">ROUND(C51/C52,3)</f>
        <v>0.70699999999999996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9"/>
      <c r="C1" s="2553" t="s">
        <v>2384</v>
      </c>
      <c r="D1" s="242"/>
      <c r="E1" s="242"/>
      <c r="F1" s="242"/>
      <c r="G1" s="1381">
        <f>MATCH(B1,'数据-取费表'!A6:A16,0)+5</f>
        <v>7</v>
      </c>
      <c r="H1" s="1284" t="str">
        <f>IF(ISERROR(FIND("住宅",B1)),"非住宅","住宅")</f>
        <v>非住宅</v>
      </c>
    </row>
    <row r="2" spans="1:8" s="244" customFormat="1" ht="18" customHeight="1">
      <c r="A2" s="245" t="s">
        <v>2283</v>
      </c>
      <c r="B2" s="246">
        <f ca="1">ROUND(IF(D2="——",C52/10000,C52/10000-E2),0)</f>
        <v>9479</v>
      </c>
      <c r="C2" s="243" t="s">
        <v>2284</v>
      </c>
      <c r="D2" s="2547" t="s">
        <v>69</v>
      </c>
      <c r="E2" s="1442" t="e">
        <f ca="1">SUMIF(INDIRECT("'"&amp;G2&amp;"'"&amp;"!A:A"),"承租人权益价值",INDIRECT("'"&amp;G2&amp;"'"&amp;"!c:c"))</f>
        <v>#REF!</v>
      </c>
      <c r="F2" s="2548" t="s">
        <v>2284</v>
      </c>
      <c r="G2" s="2549"/>
    </row>
    <row r="3" spans="1:8" s="244" customFormat="1" ht="18" customHeight="1" thickBot="1">
      <c r="A3" s="247" t="s">
        <v>2285</v>
      </c>
      <c r="B3" s="248">
        <f ca="1">ROUND(B2*10000/(IF(B1="",'数据-汇总表'!E3,INDIRECT("'数据-取费表'!k"&amp;$G$1))),0)</f>
        <v>2105</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972635</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4.0500000000000001E-2</v>
      </c>
      <c r="G7" s="263"/>
    </row>
    <row r="8" spans="1:8" s="267" customFormat="1">
      <c r="A8" s="952" t="s">
        <v>2297</v>
      </c>
      <c r="B8" s="259" t="s">
        <v>2298</v>
      </c>
      <c r="C8" s="264">
        <f ca="1">IF(G8="已包含在土地购买价格中",0,C9+C10)</f>
        <v>972635</v>
      </c>
      <c r="D8" s="266"/>
      <c r="E8" s="264"/>
      <c r="F8" s="265"/>
      <c r="G8" s="2550"/>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2301</v>
      </c>
      <c r="C10" s="269">
        <f ca="1">ROUND(D10*E10,0)</f>
        <v>972635</v>
      </c>
      <c r="D10" s="1035">
        <f ca="1">IF(B1="",'数据-汇总表'!E6,IF(INDIRECT("'数据-取费表'!c"&amp;$G$1)="住宅",INDIRECT("'数据-取费表'!s"&amp;$G$1),INDIRECT("'数据-取费表'!k"&amp;$G$1)+INDIRECT("'数据-取费表'!s"&amp;$G$1)))</f>
        <v>45029.380000000005</v>
      </c>
      <c r="E10" s="269">
        <f>'数据-取费表'!B28</f>
        <v>21.6</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6754407</v>
      </c>
      <c r="D19" s="1039">
        <f ca="1">D9+D10</f>
        <v>45029.380000000005</v>
      </c>
      <c r="E19" s="255">
        <f>'数据-取费表'!B31</f>
        <v>150</v>
      </c>
      <c r="F19" s="275"/>
      <c r="G19" s="2550"/>
    </row>
    <row r="20" spans="1:7" s="258" customFormat="1" ht="13.5" customHeight="1">
      <c r="A20" s="299" t="s">
        <v>2395</v>
      </c>
      <c r="B20" s="254" t="s">
        <v>2396</v>
      </c>
      <c r="C20" s="276">
        <f ca="1">ROUND((C5+C19)*F20,0)</f>
        <v>77270</v>
      </c>
      <c r="D20" s="276"/>
      <c r="E20" s="276"/>
      <c r="F20" s="277">
        <f>'数据-取费表'!B37</f>
        <v>0.01</v>
      </c>
      <c r="G20" s="278" t="s">
        <v>2397</v>
      </c>
    </row>
    <row r="21" spans="1:7" s="258" customFormat="1" ht="13.5" customHeight="1">
      <c r="A21" s="299" t="s">
        <v>2398</v>
      </c>
      <c r="B21" s="254" t="s">
        <v>2399</v>
      </c>
      <c r="C21" s="279">
        <f>F21</f>
        <v>0.01</v>
      </c>
      <c r="D21" s="280" t="s">
        <v>2400</v>
      </c>
      <c r="E21" s="276"/>
      <c r="F21" s="277">
        <f>'数据-取费表'!B38</f>
        <v>0.01</v>
      </c>
      <c r="G21" s="278" t="s">
        <v>2401</v>
      </c>
    </row>
    <row r="22" spans="1:7" s="258" customFormat="1" ht="13.5" customHeight="1">
      <c r="A22" s="299" t="s">
        <v>2402</v>
      </c>
      <c r="B22" s="254" t="s">
        <v>2403</v>
      </c>
      <c r="C22" s="1382">
        <f ca="1">ROUND(SUM(C23:C25),0)</f>
        <v>337808</v>
      </c>
      <c r="D22" s="279">
        <f ca="1">C26</f>
        <v>2.0000000000000001E-4</v>
      </c>
      <c r="E22" s="280" t="s">
        <v>2400</v>
      </c>
      <c r="F22" s="281">
        <f ca="1">'数据-取费表'!B40</f>
        <v>4.3499999999999997E-2</v>
      </c>
      <c r="G22" s="278" t="str">
        <f>IF('数据-取费表'!B22&lt;=1,"单利计息","复利计息")</f>
        <v>单利计息</v>
      </c>
    </row>
    <row r="23" spans="1:7" s="258" customFormat="1" ht="13.5" customHeight="1">
      <c r="A23" s="954" t="s">
        <v>2293</v>
      </c>
      <c r="B23" s="259" t="s">
        <v>2404</v>
      </c>
      <c r="C23" s="1383">
        <f ca="1">ROUND(IF('数据-取费表'!B22&lt;=1,C5*F22*'数据-取费表'!B22,C5*(POWER((1+F22),'数据-取费表'!B22)-1)),0)</f>
        <v>42310</v>
      </c>
      <c r="D23" s="282"/>
      <c r="E23" s="282"/>
      <c r="F23" s="283"/>
      <c r="G23" s="284" t="s">
        <v>2405</v>
      </c>
    </row>
    <row r="24" spans="1:7" s="258" customFormat="1" ht="13.5" customHeight="1">
      <c r="A24" s="954" t="s">
        <v>2295</v>
      </c>
      <c r="B24" s="259" t="s">
        <v>2406</v>
      </c>
      <c r="C24" s="1383">
        <f ca="1">ROUND(IF('数据-取费表'!B22&lt;=1,C19*F22*('数据-取费表'!B19/2+'数据-取费表'!B20),C19*(POWER((1+F22),('数据-取费表'!B19/2+'数据-取费表'!B20))-1)),0)</f>
        <v>293817</v>
      </c>
      <c r="D24" s="282"/>
      <c r="E24" s="282"/>
      <c r="F24" s="283"/>
      <c r="G24" s="284" t="s">
        <v>2407</v>
      </c>
    </row>
    <row r="25" spans="1:7" s="258" customFormat="1" ht="24">
      <c r="A25" s="954" t="s">
        <v>2297</v>
      </c>
      <c r="B25" s="259" t="s">
        <v>2408</v>
      </c>
      <c r="C25" s="1383">
        <f ca="1">ROUND(IF('数据-取费表'!B22&lt;=1,C20*F22*'数据-取费表'!B22/2,C20*(POWER((1+F22),'数据-取费表'!B22/2)-1)),0)</f>
        <v>1681</v>
      </c>
      <c r="D25" s="282"/>
      <c r="E25" s="285"/>
      <c r="F25" s="283"/>
      <c r="G25" s="286" t="s">
        <v>2409</v>
      </c>
    </row>
    <row r="26" spans="1:7" s="258" customFormat="1">
      <c r="A26" s="954" t="s">
        <v>794</v>
      </c>
      <c r="B26" s="259" t="s">
        <v>2332</v>
      </c>
      <c r="C26" s="282">
        <f ca="1">ROUND(IF('数据-取费表'!B22&lt;=1,F21*F22*'数据-取费表'!B22/2,F21*(POWER((1+F22),'数据-取费表'!B22/2)-1)),4)</f>
        <v>2.0000000000000001E-4</v>
      </c>
      <c r="D26" s="282"/>
      <c r="E26" s="285"/>
      <c r="F26" s="283"/>
      <c r="G26" s="287"/>
    </row>
    <row r="27" spans="1:7" s="258" customFormat="1" ht="24.75">
      <c r="A27" s="299" t="s">
        <v>2333</v>
      </c>
      <c r="B27" s="288" t="s">
        <v>2334</v>
      </c>
      <c r="C27" s="289">
        <f ca="1">C28</f>
        <v>780431</v>
      </c>
      <c r="D27" s="279">
        <f ca="1">C29</f>
        <v>1E-3</v>
      </c>
      <c r="E27" s="280" t="s">
        <v>2335</v>
      </c>
      <c r="F27" s="290">
        <f ca="1">IF(B1="",'数据-取费表'!Q16,INDIRECT("'数据-取费表'!q"&amp;$G$1))</f>
        <v>0.1</v>
      </c>
      <c r="G27" s="291" t="s">
        <v>2336</v>
      </c>
    </row>
    <row r="28" spans="1:7" s="258" customFormat="1" ht="13.5" customHeight="1">
      <c r="A28" s="954" t="s">
        <v>790</v>
      </c>
      <c r="B28" s="292" t="s">
        <v>2337</v>
      </c>
      <c r="C28" s="293">
        <f ca="1">ROUND((C5+C19+C20)*F27,0)</f>
        <v>780431</v>
      </c>
      <c r="D28" s="279"/>
      <c r="E28" s="280"/>
      <c r="F28" s="290"/>
      <c r="G28" s="291"/>
    </row>
    <row r="29" spans="1:7" s="258" customFormat="1" ht="13.5" customHeight="1">
      <c r="A29" s="954" t="s">
        <v>791</v>
      </c>
      <c r="B29" s="292" t="s">
        <v>2338</v>
      </c>
      <c r="C29" s="282">
        <f ca="1">ROUND(C21*F27,4)</f>
        <v>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9537735</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82043530</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72047008</v>
      </c>
      <c r="D34" s="261"/>
      <c r="E34" s="264"/>
      <c r="F34" s="301"/>
      <c r="G34" s="263"/>
    </row>
    <row r="35" spans="1:7" ht="13.5" customHeight="1">
      <c r="A35" s="954" t="s">
        <v>795</v>
      </c>
      <c r="B35" s="259" t="s">
        <v>2348</v>
      </c>
      <c r="C35" s="264">
        <f ca="1">ROUND(C34*F35,0)</f>
        <v>2161410</v>
      </c>
      <c r="D35" s="264"/>
      <c r="E35" s="264"/>
      <c r="F35" s="303">
        <f>'数据-取费表'!B33</f>
        <v>0.03</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6754407</v>
      </c>
      <c r="D37" s="261">
        <f ca="1">D19</f>
        <v>45029.380000000005</v>
      </c>
      <c r="E37" s="293">
        <f>'数据-取费表'!B35</f>
        <v>150</v>
      </c>
      <c r="F37" s="303"/>
      <c r="G37" s="305"/>
    </row>
    <row r="38" spans="1:7" ht="13.5" customHeight="1">
      <c r="A38" s="954" t="s">
        <v>798</v>
      </c>
      <c r="B38" s="259" t="s">
        <v>2354</v>
      </c>
      <c r="C38" s="264">
        <f ca="1">ROUND(C34*F38,0)</f>
        <v>1080705</v>
      </c>
      <c r="D38" s="264"/>
      <c r="E38" s="264"/>
      <c r="F38" s="303">
        <f>'数据-取费表'!B36</f>
        <v>1.4999999999999999E-2</v>
      </c>
      <c r="G38" s="263" t="s">
        <v>2349</v>
      </c>
    </row>
    <row r="39" spans="1:7" s="258" customFormat="1" ht="13.5" customHeight="1">
      <c r="A39" s="299" t="s">
        <v>2355</v>
      </c>
      <c r="B39" s="254" t="s">
        <v>2356</v>
      </c>
      <c r="C39" s="276">
        <f ca="1">ROUND(C33*F20,0)</f>
        <v>820435</v>
      </c>
      <c r="D39" s="276"/>
      <c r="E39" s="276"/>
      <c r="F39" s="277"/>
      <c r="G39" s="278" t="s">
        <v>2357</v>
      </c>
    </row>
    <row r="40" spans="1:7" s="258" customFormat="1" ht="13.5" customHeight="1">
      <c r="A40" s="299" t="s">
        <v>2358</v>
      </c>
      <c r="B40" s="254" t="s">
        <v>2359</v>
      </c>
      <c r="C40" s="1730">
        <f>F21</f>
        <v>0.01</v>
      </c>
      <c r="D40" s="280" t="s">
        <v>2360</v>
      </c>
      <c r="E40" s="276"/>
      <c r="F40" s="277"/>
      <c r="G40" s="278" t="s">
        <v>2361</v>
      </c>
    </row>
    <row r="41" spans="1:7" s="258" customFormat="1" ht="13.5" customHeight="1">
      <c r="A41" s="299" t="s">
        <v>2362</v>
      </c>
      <c r="B41" s="254" t="s">
        <v>2363</v>
      </c>
      <c r="C41" s="276">
        <f ca="1">ROUND(SUM(C42:C43),0)</f>
        <v>1802291</v>
      </c>
      <c r="D41" s="279">
        <f ca="1">C44</f>
        <v>2.0000000000000001E-4</v>
      </c>
      <c r="E41" s="280" t="s">
        <v>2360</v>
      </c>
      <c r="F41" s="281"/>
      <c r="G41" s="278" t="str">
        <f>IF('数据-取费表'!B22&lt;=1,"单利计息","复利计息")</f>
        <v>单利计息</v>
      </c>
    </row>
    <row r="42" spans="1:7" ht="13.5" customHeight="1">
      <c r="A42" s="954" t="s">
        <v>790</v>
      </c>
      <c r="B42" s="259" t="s">
        <v>2364</v>
      </c>
      <c r="C42" s="282">
        <f ca="1">ROUND(IF('数据-取费表'!B22&lt;=1,C33*F22*'数据-取费表'!B20/2,C33*(POWER((1+F22),'数据-取费表'!B20/2)-1)),0)</f>
        <v>1784447</v>
      </c>
      <c r="D42" s="282"/>
      <c r="E42" s="282"/>
      <c r="F42" s="283"/>
      <c r="G42" s="3193" t="s">
        <v>2412</v>
      </c>
    </row>
    <row r="43" spans="1:7" ht="13.5" customHeight="1">
      <c r="A43" s="954" t="s">
        <v>791</v>
      </c>
      <c r="B43" s="259" t="s">
        <v>2366</v>
      </c>
      <c r="C43" s="282">
        <f ca="1">ROUND(IF('数据-取费表'!B22&lt;=1,C39*F22*'数据-取费表'!B20/2,C39*(POWER((1+F22),'数据-取费表'!B20/2)-1)),0)</f>
        <v>17844</v>
      </c>
      <c r="D43" s="282"/>
      <c r="E43" s="282"/>
      <c r="F43" s="283"/>
      <c r="G43" s="3194"/>
    </row>
    <row r="44" spans="1:7" ht="13.5" customHeight="1">
      <c r="A44" s="954" t="s">
        <v>792</v>
      </c>
      <c r="B44" s="259" t="s">
        <v>2367</v>
      </c>
      <c r="C44" s="282">
        <f ca="1">ROUND(IF('数据-取费表'!B22&lt;=1,C40*F22*'数据-取费表'!B20/2,C40*(POWER((1+F22),'数据-取费表'!B20/2)-1)),4)</f>
        <v>2.0000000000000001E-4</v>
      </c>
      <c r="D44" s="282"/>
      <c r="E44" s="282"/>
      <c r="F44" s="283"/>
      <c r="G44" s="3195"/>
    </row>
    <row r="45" spans="1:7" s="258" customFormat="1" ht="13.5" customHeight="1">
      <c r="A45" s="299" t="s">
        <v>2368</v>
      </c>
      <c r="B45" s="288" t="s">
        <v>2334</v>
      </c>
      <c r="C45" s="289">
        <f ca="1">C46</f>
        <v>8286397</v>
      </c>
      <c r="D45" s="279">
        <f ca="1">C47</f>
        <v>1E-3</v>
      </c>
      <c r="E45" s="280" t="s">
        <v>2360</v>
      </c>
      <c r="F45" s="290"/>
      <c r="G45" s="291" t="s">
        <v>2369</v>
      </c>
    </row>
    <row r="46" spans="1:7" s="258" customFormat="1" ht="13.5" customHeight="1">
      <c r="A46" s="954" t="s">
        <v>790</v>
      </c>
      <c r="B46" s="292" t="s">
        <v>2370</v>
      </c>
      <c r="C46" s="293">
        <f ca="1">ROUND((C33+C39)*F27,0)</f>
        <v>8286397</v>
      </c>
      <c r="D46" s="307"/>
      <c r="E46" s="280"/>
      <c r="F46" s="290"/>
      <c r="G46" s="291"/>
    </row>
    <row r="47" spans="1:7" s="258" customFormat="1" ht="13.5" customHeight="1">
      <c r="A47" s="954" t="s">
        <v>791</v>
      </c>
      <c r="B47" s="292" t="s">
        <v>2371</v>
      </c>
      <c r="C47" s="282">
        <f ca="1">ROUND(C40*F27,4)</f>
        <v>1E-3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99361468</v>
      </c>
      <c r="D49" s="276"/>
      <c r="E49" s="276"/>
      <c r="F49" s="308"/>
      <c r="G49" s="278" t="s">
        <v>2375</v>
      </c>
    </row>
    <row r="50" spans="1:7" s="302" customFormat="1">
      <c r="A50" s="299" t="s">
        <v>2376</v>
      </c>
      <c r="B50" s="254" t="s">
        <v>2377</v>
      </c>
      <c r="C50" s="276"/>
      <c r="D50" s="276"/>
      <c r="E50" s="276"/>
      <c r="F50" s="308">
        <f>IF('数据-取费表'!B24=0,'数据-取费表'!N16,1)</f>
        <v>0.85799999999999998</v>
      </c>
      <c r="G50" s="291"/>
    </row>
    <row r="51" spans="1:7" ht="16.5" customHeight="1">
      <c r="A51" s="299" t="s">
        <v>2379</v>
      </c>
      <c r="B51" s="254" t="s">
        <v>2414</v>
      </c>
      <c r="C51" s="276">
        <f ca="1">ROUND(C49*F50,0)</f>
        <v>85252140</v>
      </c>
      <c r="D51" s="276"/>
      <c r="E51" s="276"/>
      <c r="F51" s="308"/>
      <c r="G51" s="278" t="s">
        <v>2381</v>
      </c>
    </row>
    <row r="52" spans="1:7" s="252" customFormat="1" ht="16.5" thickBot="1">
      <c r="A52" s="309" t="s">
        <v>2382</v>
      </c>
      <c r="B52" s="310"/>
      <c r="C52" s="311">
        <f ca="1">C31+C51</f>
        <v>94789875</v>
      </c>
      <c r="D52" s="310"/>
      <c r="E52" s="310"/>
      <c r="F52" s="310"/>
      <c r="G52" s="312"/>
    </row>
    <row r="55" spans="1:7" ht="15">
      <c r="B55" s="314" t="s">
        <v>2383</v>
      </c>
      <c r="C55" s="315"/>
    </row>
    <row r="56" spans="1:7">
      <c r="B56" s="317" t="s">
        <v>1512</v>
      </c>
      <c r="C56" s="319">
        <f ca="1">1-C57</f>
        <v>0.10099999999999998</v>
      </c>
    </row>
    <row r="57" spans="1:7">
      <c r="B57" s="317" t="s">
        <v>1513</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2415</v>
      </c>
      <c r="B1" s="1583"/>
      <c r="C1" s="1584"/>
      <c r="D1" s="1582"/>
      <c r="E1" s="320"/>
      <c r="F1" s="320"/>
      <c r="G1" s="1583"/>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4.75">
      <c r="A5" s="960" t="s">
        <v>2419</v>
      </c>
      <c r="B5" s="961" t="s">
        <v>2420</v>
      </c>
      <c r="C5" s="2554" t="s">
        <v>2421</v>
      </c>
      <c r="D5" s="2554" t="s">
        <v>2422</v>
      </c>
      <c r="E5" s="2554" t="s">
        <v>2423</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1333</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2437</v>
      </c>
      <c r="C12" s="24">
        <f ca="1">ROUND(C11*F12,0)</f>
        <v>0</v>
      </c>
      <c r="D12" s="976"/>
      <c r="E12" s="375"/>
      <c r="F12" s="979">
        <f>'数据-取费表'!B33</f>
        <v>0.03</v>
      </c>
      <c r="G12" s="8" t="s">
        <v>2438</v>
      </c>
      <c r="H12" s="971"/>
      <c r="I12" s="971"/>
      <c r="J12" s="971"/>
      <c r="K12" s="972"/>
    </row>
    <row r="13" spans="1:33" s="978" customFormat="1" ht="13.5" customHeight="1">
      <c r="A13" s="974" t="s">
        <v>1335</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1336</v>
      </c>
      <c r="B14" s="975" t="s">
        <v>2441</v>
      </c>
      <c r="C14" s="24">
        <f ca="1">ROUND(D14*E14*F11/10000,0)</f>
        <v>0</v>
      </c>
      <c r="D14" s="1036">
        <f ca="1">IF(C1="",'数据-汇总表'!E3,INDIRECT("'数据-取费表'!K"&amp;$K$1)+INDIRECT("'数据-取费表'!S"&amp;$K$1))</f>
        <v>45029.380000000005</v>
      </c>
      <c r="E14" s="24">
        <f>'数据-取费表'!B35</f>
        <v>150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45029.380000000005</v>
      </c>
      <c r="E17" s="24">
        <f>'数据-取费表'!B32</f>
        <v>0</v>
      </c>
      <c r="F17" s="981"/>
      <c r="G17" s="140" t="s">
        <v>2447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2448</v>
      </c>
      <c r="C18" s="24">
        <f ca="1">C19+C20-IF(C1="",'数据-取费表'!B29,IF(G18="已全部缴纳",C19+C20,H18))</f>
        <v>0</v>
      </c>
      <c r="D18" s="1036"/>
      <c r="E18" s="24"/>
      <c r="F18" s="979"/>
      <c r="G18" s="2556"/>
      <c r="H18" s="1579"/>
      <c r="I18" s="2557"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805</v>
      </c>
      <c r="B20" s="975" t="s">
        <v>2451</v>
      </c>
      <c r="C20" s="24">
        <f ca="1">ROUND(D20*E20/10000,0)</f>
        <v>97</v>
      </c>
      <c r="D20" s="1036">
        <f ca="1">IF(C1="",'数据-汇总表'!E6,IF(INDIRECT("'数据-取费表'!c"&amp;$K$1)="住宅",INDIRECT("'数据-取费表'!s"&amp;$K$1),INDIRECT("'数据-取费表'!k"&amp;$K$1)+INDIRECT("'数据-取费表'!s"&amp;$K$1)))</f>
        <v>45029.380000000005</v>
      </c>
      <c r="E20" s="24">
        <f>'数据-取费表'!B28</f>
        <v>21.6</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0.01</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0.01</v>
      </c>
      <c r="G23" s="8" t="s">
        <v>2457</v>
      </c>
      <c r="H23" s="971"/>
      <c r="I23" s="971"/>
      <c r="J23" s="971"/>
      <c r="K23" s="972"/>
    </row>
    <row r="24" spans="1:33" s="978" customFormat="1" ht="13.5" customHeight="1">
      <c r="A24" s="964" t="s">
        <v>2458</v>
      </c>
      <c r="B24" s="988" t="s">
        <v>2459</v>
      </c>
      <c r="C24" s="324">
        <f>ROUND(F24/(1+'数据-取费表'!C42),4)</f>
        <v>3.8600000000000002E-2</v>
      </c>
      <c r="D24" s="325" t="s">
        <v>15</v>
      </c>
      <c r="E24" s="325"/>
      <c r="F24" s="991">
        <f>'数据-取费表'!B48+'数据-取费表'!B49</f>
        <v>4.0500000000000001E-2</v>
      </c>
      <c r="G24" s="8" t="s">
        <v>2460</v>
      </c>
      <c r="H24" s="993"/>
      <c r="I24" s="993"/>
      <c r="J24" s="993"/>
      <c r="K24" s="994"/>
    </row>
    <row r="25" spans="1:33" s="978" customFormat="1" ht="13.5" customHeight="1">
      <c r="A25" s="964" t="s">
        <v>2461</v>
      </c>
      <c r="B25" s="990" t="s">
        <v>2462</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802</v>
      </c>
      <c r="B26" s="995" t="s">
        <v>2463</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803</v>
      </c>
      <c r="B27" s="995" t="s">
        <v>2464</v>
      </c>
      <c r="C27" s="1360">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2465</v>
      </c>
      <c r="B28" s="2559" t="s">
        <v>2466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60" t="s">
        <v>2470</v>
      </c>
      <c r="B31" s="1008" t="s">
        <v>2471</v>
      </c>
      <c r="C31" s="1009">
        <f>ROUND(C4*F31/(1+'数据-取费表'!C42),0)</f>
        <v>0</v>
      </c>
      <c r="D31" s="1010"/>
      <c r="E31" s="1011"/>
      <c r="F31" s="1012">
        <f>'数据-取费表'!B41</f>
        <v>5.6000000000000001E-2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C14" sqref="C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69</v>
      </c>
      <c r="E1" s="1823" t="s">
        <v>1386</v>
      </c>
      <c r="F1" s="1285">
        <f ca="1">J53</f>
        <v>39.090000000000003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27765</v>
      </c>
      <c r="C2" s="1847" t="s">
        <v>1515</v>
      </c>
      <c r="D2" s="1847"/>
      <c r="E2" s="1848"/>
      <c r="F2" s="1849"/>
      <c r="G2" s="1850"/>
      <c r="H2" s="1842"/>
      <c r="I2" s="1842"/>
      <c r="J2" s="1842"/>
      <c r="K2" s="1843"/>
      <c r="L2" s="1842"/>
      <c r="M2" s="1842"/>
    </row>
    <row r="3" spans="1:37" ht="18" customHeight="1" thickBot="1">
      <c r="A3" s="1851" t="s">
        <v>1516</v>
      </c>
      <c r="B3" s="1852">
        <f ca="1">IF(ISERROR(B2*10000/F43),0,ROUND(B2*10000/F43,0))</f>
        <v>6326</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4">
        <f ca="1">C6+C10+C12</f>
        <v>1553</v>
      </c>
      <c r="D5" s="1824" t="s">
        <v>1401</v>
      </c>
      <c r="E5" s="1295"/>
      <c r="F5" s="1296"/>
      <c r="G5" s="1853"/>
      <c r="H5" s="344">
        <v>1</v>
      </c>
      <c r="I5" s="345" t="s">
        <v>1400</v>
      </c>
      <c r="J5" s="1294">
        <f ca="1">J6+J10+J12</f>
        <v>0</v>
      </c>
      <c r="K5" s="1824" t="s">
        <v>1401</v>
      </c>
      <c r="L5" s="1295"/>
      <c r="M5" s="1296"/>
    </row>
    <row r="6" spans="1:37" ht="18" customHeight="1">
      <c r="A6" s="1293" t="s">
        <v>1034</v>
      </c>
      <c r="B6" s="3198" t="s">
        <v>1402</v>
      </c>
      <c r="C6" s="1298">
        <f ca="1">ROUND(F6*F8*F7*(1-F9)/10000,0)</f>
        <v>1551</v>
      </c>
      <c r="D6" s="164" t="s">
        <v>2989</v>
      </c>
      <c r="E6" s="347" t="s">
        <v>1404</v>
      </c>
      <c r="F6" s="348">
        <f ca="1">INDIRECT("'数据-取费表'!u"&amp;$G$1)</f>
        <v>1.1000000000000001</v>
      </c>
      <c r="G6" s="1853"/>
      <c r="H6" s="1293" t="s">
        <v>1034</v>
      </c>
      <c r="I6" s="3198" t="s">
        <v>1402</v>
      </c>
      <c r="J6" s="346">
        <f ca="1">ROUND(M6*M8*M7*(1-M9)/10000,0)</f>
        <v>0</v>
      </c>
      <c r="K6" s="164" t="s">
        <v>2988</v>
      </c>
      <c r="L6" s="347" t="s">
        <v>1404</v>
      </c>
      <c r="M6" s="348">
        <f ca="1">INDIRECT("'数据-取费表'!z"&amp;$G$1)</f>
        <v>0</v>
      </c>
    </row>
    <row r="7" spans="1:37" ht="18" customHeight="1">
      <c r="A7" s="1297"/>
      <c r="B7" s="3199"/>
      <c r="C7" s="1299"/>
      <c r="D7" s="352"/>
      <c r="E7" s="1300" t="s">
        <v>1405</v>
      </c>
      <c r="F7" s="348">
        <f ca="1">IF(INDIRECT("'数据-取费表'!ah"&amp;$G$1)="",INDIRECT("'数据-取费表'!k"&amp;$G$1),INDIRECT("'数据-取费表'!ah"&amp;$G$1))</f>
        <v>43891.520000000004</v>
      </c>
      <c r="G7" s="1853"/>
      <c r="H7" s="349"/>
      <c r="I7" s="3199"/>
      <c r="J7" s="351"/>
      <c r="K7" s="352"/>
      <c r="L7" s="347" t="s">
        <v>1405</v>
      </c>
      <c r="M7" s="348">
        <f ca="1">F7</f>
        <v>43891.520000000004</v>
      </c>
    </row>
    <row r="8" spans="1:37" ht="18" customHeight="1">
      <c r="A8" s="349"/>
      <c r="B8" s="3199"/>
      <c r="C8" s="351"/>
      <c r="D8" s="352"/>
      <c r="E8" s="347" t="s">
        <v>1406</v>
      </c>
      <c r="F8" s="348">
        <f ca="1">INDIRECT("'数据-取费表'!ai"&amp;$G$1)</f>
        <v>365</v>
      </c>
      <c r="G8" s="1853"/>
      <c r="H8" s="349"/>
      <c r="I8" s="3199"/>
      <c r="J8" s="351"/>
      <c r="K8" s="352"/>
      <c r="L8" s="347" t="s">
        <v>1406</v>
      </c>
      <c r="M8" s="348">
        <f ca="1">INDIRECT("'数据-取费表'!ai"&amp;$G$1)</f>
        <v>365</v>
      </c>
    </row>
    <row r="9" spans="1:37" ht="18" customHeight="1">
      <c r="A9" s="349"/>
      <c r="B9" s="3200"/>
      <c r="C9" s="351"/>
      <c r="D9" s="352"/>
      <c r="E9" s="347" t="s">
        <v>1407</v>
      </c>
      <c r="F9" s="357">
        <f ca="1">INDIRECT("'数据-取费表'!w"&amp;$G$1)</f>
        <v>0.12</v>
      </c>
      <c r="G9" s="1853"/>
      <c r="H9" s="349"/>
      <c r="I9" s="3200"/>
      <c r="J9" s="351"/>
      <c r="K9" s="352"/>
      <c r="L9" s="358" t="s">
        <v>1407</v>
      </c>
      <c r="M9" s="359">
        <f ca="1">INDIRECT("'数据-取费表'!ab"&amp;$G$1)</f>
        <v>0</v>
      </c>
    </row>
    <row r="10" spans="1:37" ht="18" customHeight="1">
      <c r="A10" s="1293" t="s">
        <v>1038</v>
      </c>
      <c r="B10" s="1825" t="s">
        <v>1408</v>
      </c>
      <c r="C10" s="361">
        <f ca="1">ROUND(IF(F10="押一",C6/12*F11,IF(F10="押二",C6/12*2*F11,IF(F10="押三",C6/12*3*F11,C11*F11))),0)</f>
        <v>2</v>
      </c>
      <c r="D10" s="1826" t="s">
        <v>2998</v>
      </c>
      <c r="E10" s="358" t="s">
        <v>1409</v>
      </c>
      <c r="F10" s="1368" t="s">
        <v>3165</v>
      </c>
      <c r="G10" s="1853"/>
      <c r="H10" s="1293" t="s">
        <v>1038</v>
      </c>
      <c r="I10" s="1825" t="s">
        <v>1408</v>
      </c>
      <c r="J10" s="346">
        <f ca="1">ROUND(IF(M10="押一",J6/12*M11,IF(M10="押二",J6/12*2*M11,IF(M10="押三",J6/12*3*M11,J11*M11))),0)</f>
        <v>0</v>
      </c>
      <c r="K10" s="1826" t="s">
        <v>2997</v>
      </c>
      <c r="L10" s="358" t="s">
        <v>1409</v>
      </c>
      <c r="M10" s="1368" t="s">
        <v>1410</v>
      </c>
    </row>
    <row r="11" spans="1:37" ht="18" customHeight="1">
      <c r="A11" s="353"/>
      <c r="B11" s="1827" t="s">
        <v>1387</v>
      </c>
      <c r="C11" s="1180"/>
      <c r="D11" s="1828"/>
      <c r="E11" s="358" t="s">
        <v>1411</v>
      </c>
      <c r="F11" s="359">
        <f ca="1">'数据-取费表'!B39</f>
        <v>1.4999999999999999E-2</v>
      </c>
      <c r="G11" s="1853"/>
      <c r="H11" s="1301"/>
      <c r="I11" s="1827" t="s">
        <v>1387</v>
      </c>
      <c r="J11" s="1180"/>
      <c r="K11" s="748"/>
      <c r="L11" s="358" t="s">
        <v>1411</v>
      </c>
      <c r="M11" s="1058">
        <f ca="1">'数据-取费表'!B39</f>
        <v>1.4999999999999999E-2</v>
      </c>
    </row>
    <row r="12" spans="1:37" ht="18" customHeight="1" thickBot="1">
      <c r="A12" s="1335" t="s">
        <v>1074</v>
      </c>
      <c r="B12" s="1829" t="s">
        <v>1412</v>
      </c>
      <c r="C12" s="1336"/>
      <c r="D12" s="1337"/>
      <c r="E12" s="1342"/>
      <c r="F12" s="1338"/>
      <c r="G12" s="1853"/>
      <c r="H12" s="1335" t="s">
        <v>1074</v>
      </c>
      <c r="I12" s="1829" t="s">
        <v>1412</v>
      </c>
      <c r="J12" s="1336"/>
      <c r="K12" s="1350"/>
      <c r="L12" s="1342"/>
      <c r="M12" s="1351"/>
    </row>
    <row r="13" spans="1:37" ht="18" customHeight="1" thickTop="1">
      <c r="A13" s="1331">
        <v>2</v>
      </c>
      <c r="B13" s="1332" t="s">
        <v>1413</v>
      </c>
      <c r="C13" s="355">
        <f ca="1">ROUND(C29*F13,0)</f>
        <v>8545</v>
      </c>
      <c r="D13" s="1333" t="s">
        <v>1414</v>
      </c>
      <c r="E13" s="1333" t="s">
        <v>1415</v>
      </c>
      <c r="F13" s="1334">
        <f ca="1">INDIRECT("'数据-取费表'!y"&amp;$G$1)</f>
        <v>0.86</v>
      </c>
      <c r="G13" s="1853"/>
      <c r="H13" s="1331">
        <v>2</v>
      </c>
      <c r="I13" s="1332" t="s">
        <v>1413</v>
      </c>
      <c r="J13" s="1292">
        <f ca="1">ROUND(J14*J15,0)</f>
        <v>0</v>
      </c>
      <c r="K13" s="1339" t="s">
        <v>1414</v>
      </c>
      <c r="L13" s="1854"/>
      <c r="M13" s="1855"/>
    </row>
    <row r="14" spans="1:37" ht="18" customHeight="1">
      <c r="A14" s="1203" t="s">
        <v>1033</v>
      </c>
      <c r="B14" s="347" t="s">
        <v>1416</v>
      </c>
      <c r="C14" s="363">
        <f ca="1">INDIRECT("'数据-取费表'!m"&amp;$G$1)+INDIRECT("'数据-取费表'!t"&amp;$G$1)</f>
        <v>7205</v>
      </c>
      <c r="D14" s="1802" t="s">
        <v>1417</v>
      </c>
      <c r="E14" s="1796"/>
      <c r="F14" s="364"/>
      <c r="G14" s="1853"/>
      <c r="H14" s="1203" t="s">
        <v>1034</v>
      </c>
      <c r="I14" s="347" t="s">
        <v>1418</v>
      </c>
      <c r="J14" s="24">
        <f ca="1">C29</f>
        <v>9936</v>
      </c>
      <c r="K14" s="15"/>
      <c r="L14" s="982"/>
      <c r="M14" s="983"/>
    </row>
    <row r="15" spans="1:37" s="1860" customFormat="1" ht="18" customHeight="1" thickBot="1">
      <c r="A15" s="1203" t="s">
        <v>1035</v>
      </c>
      <c r="B15" s="347" t="s">
        <v>1419</v>
      </c>
      <c r="C15" s="24">
        <f ca="1">ROUND(C14*F15,0)</f>
        <v>216</v>
      </c>
      <c r="D15" s="365" t="s">
        <v>1420</v>
      </c>
      <c r="E15" s="365" t="s">
        <v>1421</v>
      </c>
      <c r="F15" s="366">
        <f>'数据-取费表'!B33</f>
        <v>0.03</v>
      </c>
      <c r="G15" s="1856"/>
      <c r="H15" s="1341" t="s">
        <v>1038</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1388</v>
      </c>
      <c r="B16" s="347" t="s">
        <v>1422</v>
      </c>
      <c r="C16" s="24">
        <f ca="1">ROUND(INDIRECT("'数据-取费表'!m"&amp;$G$1)*F16,0)</f>
        <v>0</v>
      </c>
      <c r="D16" s="347" t="s">
        <v>1420</v>
      </c>
      <c r="E16" s="347" t="s">
        <v>1421</v>
      </c>
      <c r="F16" s="367">
        <f ca="1">IF(INDIRECT("'数据-取费表'!c"&amp;$G$1)="住宅",'数据-取费表'!B34,0)</f>
        <v>0</v>
      </c>
      <c r="G16" s="1853"/>
      <c r="H16" s="1331" t="s">
        <v>1029</v>
      </c>
      <c r="I16" s="1332" t="s">
        <v>1423</v>
      </c>
      <c r="J16" s="355">
        <f ca="1">ROUND(J17+J22+J23+J24,0)</f>
        <v>283</v>
      </c>
      <c r="K16" s="1339" t="s">
        <v>1424</v>
      </c>
      <c r="L16" s="1340"/>
      <c r="M16" s="1296"/>
    </row>
    <row r="17" spans="1:37" s="1860" customFormat="1" ht="18" customHeight="1">
      <c r="A17" s="1203" t="s">
        <v>1389</v>
      </c>
      <c r="B17" s="347" t="s">
        <v>1425</v>
      </c>
      <c r="C17" s="24">
        <f ca="1">ROUND(F17*(F43+INDIRECT("'数据-取费表'!S"&amp;$G$1))/10000,0)</f>
        <v>675</v>
      </c>
      <c r="D17" s="347" t="s">
        <v>1426</v>
      </c>
      <c r="E17" s="347" t="s">
        <v>1427</v>
      </c>
      <c r="F17" s="26">
        <f>'数据-取费表'!B35</f>
        <v>150</v>
      </c>
      <c r="G17" s="1856"/>
      <c r="H17" s="1203" t="s">
        <v>1034</v>
      </c>
      <c r="I17" s="347" t="s">
        <v>1428</v>
      </c>
      <c r="J17" s="24">
        <f ca="1">ROUND(IF(项目基本情况!B11="自然人",J5*M17,J18+J19+J20),1)</f>
        <v>133.80000000000001</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1390</v>
      </c>
      <c r="B18" s="347" t="s">
        <v>1431</v>
      </c>
      <c r="C18" s="24">
        <f ca="1">ROUND(C14*F18,0)</f>
        <v>108</v>
      </c>
      <c r="D18" s="347" t="s">
        <v>1420</v>
      </c>
      <c r="E18" s="347" t="s">
        <v>1421</v>
      </c>
      <c r="F18" s="367">
        <f>'数据-取费表'!B36</f>
        <v>1.4999999999999999E-2</v>
      </c>
      <c r="G18" s="1856"/>
      <c r="H18" s="1203" t="s">
        <v>1033</v>
      </c>
      <c r="I18" s="347" t="s">
        <v>1432</v>
      </c>
      <c r="J18" s="24">
        <f ca="1">ROUND(J5*M18/(1+'数据-取费表'!C42),2)</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1434</v>
      </c>
      <c r="C19" s="24">
        <f ca="1">SUM(C14:C18)</f>
        <v>8204</v>
      </c>
      <c r="D19" s="140" t="s">
        <v>1435</v>
      </c>
      <c r="E19" s="1820"/>
      <c r="F19" s="26"/>
      <c r="G19" s="1853"/>
      <c r="H19" s="1203" t="s">
        <v>1035</v>
      </c>
      <c r="I19" s="347" t="s">
        <v>1436</v>
      </c>
      <c r="J19" s="24">
        <f ca="1">IF(K19="按租金收入计税",ROUND(J5*M19,2),ROUND(C29*M19*0.7,2))</f>
        <v>83.46</v>
      </c>
      <c r="K19" s="1830" t="s">
        <v>1437</v>
      </c>
      <c r="L19" s="347" t="s">
        <v>1421</v>
      </c>
      <c r="M19" s="367">
        <f>IF(K19="按租金收入计税",'数据-取费表'!B51,'数据-取费表'!B50)</f>
        <v>1.2E-2</v>
      </c>
    </row>
    <row r="20" spans="1:37" s="1860" customFormat="1" ht="18" customHeight="1">
      <c r="A20" s="1203" t="s">
        <v>1038</v>
      </c>
      <c r="B20" s="347" t="s">
        <v>1438</v>
      </c>
      <c r="C20" s="24">
        <f ca="1">ROUND(C19*F20,0)</f>
        <v>82</v>
      </c>
      <c r="D20" s="369" t="s">
        <v>1439</v>
      </c>
      <c r="E20" s="347" t="s">
        <v>1421</v>
      </c>
      <c r="F20" s="367">
        <f>'数据-取费表'!B37</f>
        <v>0.01</v>
      </c>
      <c r="G20" s="1856"/>
      <c r="H20" s="1203" t="s">
        <v>1388</v>
      </c>
      <c r="I20" s="164" t="s">
        <v>1440</v>
      </c>
      <c r="J20" s="25">
        <f ca="1">ROUND(M20*M21/10000,2)</f>
        <v>50.36</v>
      </c>
      <c r="K20" s="370" t="s">
        <v>1441</v>
      </c>
      <c r="L20" s="347" t="s">
        <v>1442</v>
      </c>
      <c r="M20" s="371">
        <f>'数据-取费表'!B52</f>
        <v>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1443</v>
      </c>
      <c r="C21" s="24" t="s">
        <v>18</v>
      </c>
      <c r="D21" s="369" t="s">
        <v>1444</v>
      </c>
      <c r="E21" s="347" t="s">
        <v>1445</v>
      </c>
      <c r="F21" s="367">
        <f>'数据-取费表'!B38</f>
        <v>0.01</v>
      </c>
      <c r="G21" s="1856"/>
      <c r="H21" s="372"/>
      <c r="I21" s="356"/>
      <c r="J21" s="29"/>
      <c r="K21" s="373"/>
      <c r="L21" s="347" t="s">
        <v>1446</v>
      </c>
      <c r="M21" s="348">
        <f ca="1">INDIRECT("'数据-取费表'!r"&amp;$G$1)</f>
        <v>62946.5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1391</v>
      </c>
      <c r="B22" s="347" t="s">
        <v>1447</v>
      </c>
      <c r="C22" s="24"/>
      <c r="D22" s="140" t="str">
        <f>IF(F23&lt;=1,"单利计息。","复利计息。")&amp;"建造成本、管理费用、销售费用产生的利息。"</f>
        <v>单利计息。建造成本、管理费用、销售费用产生的利息。</v>
      </c>
      <c r="E22" s="1820"/>
      <c r="F22" s="26"/>
      <c r="G22" s="1853"/>
      <c r="H22" s="1203" t="s">
        <v>1038</v>
      </c>
      <c r="I22" s="347" t="s">
        <v>1448</v>
      </c>
      <c r="J22" s="24">
        <f ca="1">ROUND(J14*M22,1)</f>
        <v>149</v>
      </c>
      <c r="K22" s="1800" t="s">
        <v>1449</v>
      </c>
      <c r="L22" s="347" t="s">
        <v>1421</v>
      </c>
      <c r="M22" s="374">
        <f ca="1">INDIRECT("'数据-取费表'!Ak"&amp;$G$1)</f>
        <v>1.4999999999999999E-2</v>
      </c>
    </row>
    <row r="23" spans="1:37" s="1860" customFormat="1" ht="18" customHeight="1">
      <c r="A23" s="1203" t="s">
        <v>1033</v>
      </c>
      <c r="B23" s="347" t="s">
        <v>1450</v>
      </c>
      <c r="C23" s="24">
        <f ca="1">IF('数据-取费表'!B22&lt;=1,ROUND(C19*F24*F23/2,0)+ROUND(C20*F24*F23/2,0),ROUND(C19*(POWER((1+F24),F23/2)-1),0)+ROUND(C20*(POWER((1+F24),F23/2)-1),0))</f>
        <v>180</v>
      </c>
      <c r="D23" s="375" t="str">
        <f>IF(F23&lt;=1,"(建造成本+管理费用)×利率×(建设周期÷2)","(建造成本+管理费用)×((1+利率)^(建设周期÷2)-1)")</f>
        <v>(建造成本+管理费用)×利率×(建设周期÷2)</v>
      </c>
      <c r="E23" s="347" t="s">
        <v>1451</v>
      </c>
      <c r="F23" s="371">
        <f>'数据-取费表'!B20</f>
        <v>1</v>
      </c>
      <c r="G23" s="1856"/>
      <c r="H23" s="1203" t="s">
        <v>1074</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2.0000000000000001E-4</v>
      </c>
      <c r="D24" s="375" t="str">
        <f>IF(F23&lt;=1,"销售费用×利率×(建设周期÷2)","销售费用×((1+利率)^(建设周期÷2)-1)")</f>
        <v>销售费用×利率×(建设周期÷2)</v>
      </c>
      <c r="E24" s="347" t="s">
        <v>1457</v>
      </c>
      <c r="F24" s="377">
        <f ca="1">'数据-取费表'!B40</f>
        <v>4.3499999999999997E-2</v>
      </c>
      <c r="G24" s="1856"/>
      <c r="H24" s="1341" t="s">
        <v>1392</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1030</v>
      </c>
      <c r="I25" s="1346" t="s">
        <v>1462</v>
      </c>
      <c r="J25" s="355">
        <f ca="1">J5-J16</f>
        <v>-283</v>
      </c>
      <c r="K25" s="1347" t="s">
        <v>1463</v>
      </c>
      <c r="L25" s="1348"/>
      <c r="M25" s="1349"/>
    </row>
    <row r="26" spans="1:37">
      <c r="A26" s="1203" t="s">
        <v>1033</v>
      </c>
      <c r="B26" s="347" t="s">
        <v>1464</v>
      </c>
      <c r="C26" s="24">
        <f ca="1">ROUND((C19+C20)*F26,0)</f>
        <v>829</v>
      </c>
      <c r="D26" s="369" t="s">
        <v>1465</v>
      </c>
      <c r="E26" s="358" t="s">
        <v>1466</v>
      </c>
      <c r="F26" s="357">
        <f ca="1">INDIRECT("'数据-取费表'!q"&amp;$G$1)</f>
        <v>0.1</v>
      </c>
      <c r="G26" s="1853"/>
      <c r="H26" s="344" t="s">
        <v>1031</v>
      </c>
      <c r="I26" s="345" t="s">
        <v>1467</v>
      </c>
      <c r="J26" s="346">
        <f ca="1">IF(J5&lt;&gt;0,ROUND(J25*(1-((1+M28)/(1+M26))^M27)/(M26-M28),0),0)</f>
        <v>0</v>
      </c>
      <c r="K26" s="370" t="s">
        <v>1468</v>
      </c>
      <c r="L26" s="347" t="s">
        <v>1469</v>
      </c>
      <c r="M26" s="357">
        <f ca="1">INDIRECT("'数据-取费表'!I"&amp;$G$1)</f>
        <v>0.04</v>
      </c>
    </row>
    <row r="27" spans="1:37" ht="18" customHeight="1">
      <c r="A27" s="1203" t="s">
        <v>1035</v>
      </c>
      <c r="B27" s="347" t="s">
        <v>1470</v>
      </c>
      <c r="C27" s="24">
        <f ca="1">ROUND(F21*F26,4)</f>
        <v>1E-3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1036</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1477</v>
      </c>
      <c r="C29" s="1343">
        <f ca="1">ROUND((C19+C20+C23+C26)/(1-F21-C24-C27-C28),0)</f>
        <v>9936</v>
      </c>
      <c r="D29" s="1344"/>
      <c r="E29" s="1342"/>
      <c r="F29" s="1345"/>
      <c r="G29" s="1856"/>
      <c r="H29" s="380" t="s">
        <v>1032</v>
      </c>
      <c r="I29" s="381" t="s">
        <v>1478</v>
      </c>
      <c r="J29" s="382">
        <f ca="1">ROUND(J26/(1+F40)^F41,0)</f>
        <v>0</v>
      </c>
      <c r="K29" s="383" t="s">
        <v>1479</v>
      </c>
      <c r="L29" s="384"/>
      <c r="M29" s="385">
        <f ca="1">INDIRECT("'数据-取费表'!k"&amp;$G$1)</f>
        <v>43891.520000000004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1423</v>
      </c>
      <c r="C30" s="355">
        <f ca="1">ROUND(C31+C36+C37+C38,0)</f>
        <v>509</v>
      </c>
      <c r="D30" s="1339" t="s">
        <v>1424</v>
      </c>
      <c r="E30" s="1340"/>
      <c r="F30" s="1296"/>
      <c r="G30" s="1853"/>
      <c r="H30" s="745"/>
      <c r="I30" s="746"/>
      <c r="J30" s="747"/>
      <c r="K30" s="748"/>
      <c r="L30" s="749"/>
      <c r="M30" s="750"/>
    </row>
    <row r="31" spans="1:37" ht="18" customHeight="1">
      <c r="A31" s="1203" t="s">
        <v>1034</v>
      </c>
      <c r="B31" s="347" t="s">
        <v>1428</v>
      </c>
      <c r="C31" s="24">
        <f ca="1">ROUND(IF(项目基本情况!B11="自然人",C5*F31,C32+C33+C34),1)</f>
        <v>319.60000000000002</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1432</v>
      </c>
      <c r="C32" s="24">
        <f ca="1">IF(项目基本情况!B11="自然人","——",ROUND(C5*F32/(1+'数据-取费表'!C42),2))</f>
        <v>82.83</v>
      </c>
      <c r="D32" s="1800" t="s">
        <v>1433</v>
      </c>
      <c r="E32" s="347" t="s">
        <v>1421</v>
      </c>
      <c r="F32" s="377">
        <f>'数据-取费表'!B41</f>
        <v>5.6000000000000001E-2</v>
      </c>
      <c r="G32" s="1853"/>
      <c r="H32" s="745"/>
      <c r="I32" s="746"/>
      <c r="J32" s="747"/>
      <c r="K32" s="748"/>
      <c r="L32" s="749"/>
      <c r="M32" s="750"/>
    </row>
    <row r="33" spans="1:18" ht="18" customHeight="1">
      <c r="A33" s="1203" t="s">
        <v>1035</v>
      </c>
      <c r="B33" s="347" t="s">
        <v>1436</v>
      </c>
      <c r="C33" s="24">
        <f ca="1">IF(项目基本情况!B11="自然人","——",IF(D33="按租金收入计税",ROUND(C5*F33,2),IF(D33="按房产原值计税",ROUND(C29*F33*0.7,2),INDIRECT("'数据-取费表'!Aj"&amp;$G$1))))</f>
        <v>186.36</v>
      </c>
      <c r="D33" s="1830" t="s">
        <v>3166</v>
      </c>
      <c r="E33" s="347" t="s">
        <v>1421</v>
      </c>
      <c r="F33" s="367">
        <f>IF(D33="按票据","——",IF(D33="按租金收入计税",'数据-取费表'!B51,'数据-取费表'!B50))</f>
        <v>0.12</v>
      </c>
      <c r="G33" s="1853"/>
      <c r="H33" s="1861"/>
      <c r="I33" s="1862"/>
      <c r="J33" s="1863"/>
      <c r="K33" s="1864"/>
      <c r="L33" s="1861"/>
      <c r="M33" s="1861"/>
    </row>
    <row r="34" spans="1:18" ht="18" customHeight="1">
      <c r="A34" s="1293" t="s">
        <v>1388</v>
      </c>
      <c r="B34" s="164" t="s">
        <v>1440</v>
      </c>
      <c r="C34" s="25">
        <f ca="1">IF(项目基本情况!B11="自然人","——",ROUND(F34*F35/10000,2))</f>
        <v>50.36</v>
      </c>
      <c r="D34" s="370" t="s">
        <v>1441</v>
      </c>
      <c r="E34" s="347" t="s">
        <v>1442</v>
      </c>
      <c r="F34" s="371">
        <f>'数据-取费表'!B52</f>
        <v>8</v>
      </c>
      <c r="G34" s="1853"/>
      <c r="H34" s="745"/>
      <c r="I34" s="1862"/>
      <c r="J34" s="1863"/>
      <c r="K34" s="1865"/>
      <c r="L34" s="1866"/>
      <c r="M34" s="1866"/>
    </row>
    <row r="35" spans="1:18" ht="18" customHeight="1">
      <c r="A35" s="1355"/>
      <c r="B35" s="1353"/>
      <c r="C35" s="29"/>
      <c r="D35" s="373"/>
      <c r="E35" s="347" t="s">
        <v>1446</v>
      </c>
      <c r="F35" s="348">
        <f ca="1">INDIRECT("'数据-取费表'!r"&amp;$G$1)</f>
        <v>62946.5</v>
      </c>
      <c r="G35" s="1853"/>
      <c r="H35" s="745"/>
      <c r="I35" s="1862"/>
      <c r="J35" s="1863"/>
      <c r="K35" s="1864"/>
      <c r="L35" s="1861"/>
      <c r="M35" s="1861"/>
    </row>
    <row r="36" spans="1:18" ht="18" customHeight="1">
      <c r="A36" s="1354" t="s">
        <v>1038</v>
      </c>
      <c r="B36" s="347" t="s">
        <v>1448</v>
      </c>
      <c r="C36" s="24">
        <f ca="1">ROUND(C29*F36,1)</f>
        <v>149</v>
      </c>
      <c r="D36" s="1800" t="s">
        <v>1481</v>
      </c>
      <c r="E36" s="347" t="s">
        <v>1421</v>
      </c>
      <c r="F36" s="374">
        <f ca="1">INDIRECT("'数据-取费表'!Ak"&amp;$G$1)</f>
        <v>1.4999999999999999E-2</v>
      </c>
      <c r="G36" s="1853"/>
      <c r="H36" s="1861"/>
      <c r="I36" s="1862"/>
      <c r="J36" s="1863"/>
      <c r="K36" s="751"/>
      <c r="L36" s="1861"/>
      <c r="M36" s="1861"/>
    </row>
    <row r="37" spans="1:18" ht="18" customHeight="1">
      <c r="A37" s="1203" t="s">
        <v>1074</v>
      </c>
      <c r="B37" s="347" t="s">
        <v>1452</v>
      </c>
      <c r="C37" s="24">
        <f ca="1">ROUND(C13*F37,1)</f>
        <v>17.100000000000001</v>
      </c>
      <c r="D37" s="1800" t="s">
        <v>1453</v>
      </c>
      <c r="E37" s="347" t="s">
        <v>1454</v>
      </c>
      <c r="F37" s="376">
        <f ca="1">INDIRECT("'数据-取费表'!Al"&amp;$G$1)</f>
        <v>2E-3</v>
      </c>
      <c r="G37" s="1853"/>
      <c r="H37" s="1861"/>
      <c r="I37" s="1862"/>
      <c r="J37" s="1863"/>
      <c r="K37" s="751"/>
      <c r="L37" s="1861"/>
      <c r="M37" s="1861"/>
    </row>
    <row r="38" spans="1:18" ht="18" customHeight="1" thickBot="1">
      <c r="A38" s="1341" t="s">
        <v>1392</v>
      </c>
      <c r="B38" s="1342" t="s">
        <v>1438</v>
      </c>
      <c r="C38" s="1343">
        <f ca="1">ROUND(C5*F38,1)</f>
        <v>23.3</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1030</v>
      </c>
      <c r="B39" s="1346" t="s">
        <v>1482</v>
      </c>
      <c r="C39" s="355">
        <f ca="1">C5-C30</f>
        <v>1044</v>
      </c>
      <c r="D39" s="1347" t="s">
        <v>1483</v>
      </c>
      <c r="E39" s="1348"/>
      <c r="F39" s="1349"/>
      <c r="G39" s="1853"/>
      <c r="H39" s="1861"/>
      <c r="I39" s="1862"/>
      <c r="J39" s="1863"/>
      <c r="K39" s="1867"/>
      <c r="L39" s="1861"/>
      <c r="M39" s="1861"/>
    </row>
    <row r="40" spans="1:18" ht="18" customHeight="1">
      <c r="A40" s="344" t="s">
        <v>1031</v>
      </c>
      <c r="B40" s="345" t="s">
        <v>1484</v>
      </c>
      <c r="C40" s="346">
        <f ca="1">ROUND(C39*(1-((1+F42)/(1+F40))^F41)/(F40-F42),0)</f>
        <v>27765</v>
      </c>
      <c r="D40" s="370" t="s">
        <v>1468</v>
      </c>
      <c r="E40" s="347" t="s">
        <v>1469</v>
      </c>
      <c r="F40" s="357">
        <f ca="1">INDIRECT("'数据-取费表'!I"&amp;$G$1)</f>
        <v>0.04</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39.090000000000003</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1032</v>
      </c>
      <c r="B43" s="381" t="s">
        <v>1486</v>
      </c>
      <c r="C43" s="382">
        <f ca="1">ROUND(C40*10000/F43,0)</f>
        <v>6326</v>
      </c>
      <c r="D43" s="383" t="s">
        <v>1487</v>
      </c>
      <c r="E43" s="384" t="s">
        <v>1488</v>
      </c>
      <c r="F43" s="385">
        <f ca="1">INDIRECT("'数据-取费表'!k"&amp;$G$1)</f>
        <v>43891.520000000004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-48368</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1395</v>
      </c>
      <c r="B47" s="1199" t="s">
        <v>1396</v>
      </c>
      <c r="C47" s="1369" t="s">
        <v>1397</v>
      </c>
      <c r="D47" s="1199" t="s">
        <v>1398</v>
      </c>
      <c r="E47" s="1281" t="s">
        <v>1399</v>
      </c>
      <c r="F47" s="1282"/>
      <c r="G47" s="792"/>
      <c r="I47" s="1882" t="s">
        <v>1525</v>
      </c>
      <c r="J47" s="1883" t="s">
        <v>3169</v>
      </c>
      <c r="K47" s="1884" t="s">
        <v>1526</v>
      </c>
      <c r="L47" s="1885">
        <f ca="1">INDIRECT("'数据-取费表'!d"&amp;$G$1)</f>
        <v>50</v>
      </c>
      <c r="M47" s="1840" t="str">
        <f>IF(ISNUMBER(FIND("住宅",C1)),"住宅","非住宅")</f>
        <v>非住宅</v>
      </c>
      <c r="O47" s="1886" t="s">
        <v>1039</v>
      </c>
      <c r="P47" s="1887" t="s">
        <v>1527</v>
      </c>
      <c r="Q47" s="1888">
        <f ca="1">C40+J29</f>
        <v>27765</v>
      </c>
      <c r="R47" s="1888" t="s">
        <v>1528</v>
      </c>
    </row>
    <row r="48" spans="1:18" s="1844" customFormat="1" ht="28.5" thickBot="1">
      <c r="A48" s="1362" t="s">
        <v>1134</v>
      </c>
      <c r="B48" s="345" t="s">
        <v>1400</v>
      </c>
      <c r="C48" s="1819">
        <f ca="1">C49+C53+C55</f>
        <v>0</v>
      </c>
      <c r="D48" s="1364"/>
      <c r="E48" s="1365"/>
      <c r="F48" s="1183"/>
      <c r="G48" s="792"/>
      <c r="H48" s="793"/>
      <c r="I48" s="1889" t="s">
        <v>1529</v>
      </c>
      <c r="J48" s="1890" t="s">
        <v>3168</v>
      </c>
      <c r="K48" s="1891" t="s">
        <v>1530</v>
      </c>
      <c r="L48" s="1892">
        <f ca="1">INDIRECT("'数据-取费表'!f"&amp;$G$1)</f>
        <v>39.090000000000003</v>
      </c>
      <c r="O48" s="1886" t="s">
        <v>1040</v>
      </c>
      <c r="P48" s="1887" t="s">
        <v>1531</v>
      </c>
      <c r="Q48" s="1888" t="str">
        <f ca="1">J60</f>
        <v>0</v>
      </c>
      <c r="R48" s="1888" t="s">
        <v>1532</v>
      </c>
    </row>
    <row r="49" spans="1:18" s="1844" customFormat="1" ht="13.5" thickBot="1">
      <c r="A49" s="1196" t="s">
        <v>1135</v>
      </c>
      <c r="B49" s="1831" t="s">
        <v>1489</v>
      </c>
      <c r="C49" s="1366">
        <f ca="1">ROUND(F49*F51*F50*(1-F52)/10000,0)</f>
        <v>0</v>
      </c>
      <c r="D49" s="1278" t="s">
        <v>2990</v>
      </c>
      <c r="E49" s="1832" t="s">
        <v>1490</v>
      </c>
      <c r="F49" s="1283"/>
      <c r="G49" s="1893"/>
      <c r="H49" s="793"/>
      <c r="I49" s="1889" t="s">
        <v>1533</v>
      </c>
      <c r="J49" s="1894">
        <v>2012</v>
      </c>
      <c r="K49" s="1891" t="s">
        <v>1534</v>
      </c>
      <c r="L49" s="1895"/>
      <c r="O49" s="1896" t="s">
        <v>1041</v>
      </c>
      <c r="P49" s="1887" t="s">
        <v>1535</v>
      </c>
      <c r="Q49" s="1888">
        <f ca="1">C29</f>
        <v>9936</v>
      </c>
      <c r="R49" s="1888" t="s">
        <v>1528</v>
      </c>
    </row>
    <row r="50" spans="1:18" s="1844" customFormat="1" ht="13.5" thickBot="1">
      <c r="A50" s="1197"/>
      <c r="B50" s="1200"/>
      <c r="C50" s="1370"/>
      <c r="D50" s="1174"/>
      <c r="E50" s="1279" t="s">
        <v>1405</v>
      </c>
      <c r="F50" s="1280">
        <f ca="1">F7</f>
        <v>43891.520000000004</v>
      </c>
      <c r="H50" s="793"/>
      <c r="I50" s="1889" t="s">
        <v>1536</v>
      </c>
      <c r="J50" s="1897">
        <f>SUMPRODUCT((I63:I65=J47)*(J62:L62=J48)*(J63:L65))</f>
        <v>50</v>
      </c>
      <c r="K50" s="1891" t="s">
        <v>1537</v>
      </c>
      <c r="L50" s="1895"/>
      <c r="M50" s="1898"/>
      <c r="O50" s="1896" t="s">
        <v>1042</v>
      </c>
      <c r="P50" s="1887" t="s">
        <v>1538</v>
      </c>
      <c r="Q50" s="1899" t="e">
        <f ca="1">J58</f>
        <v>#VALUE!</v>
      </c>
      <c r="R50" s="1888"/>
    </row>
    <row r="51" spans="1:18" s="1844" customFormat="1" ht="13.5" thickBot="1">
      <c r="A51" s="1198"/>
      <c r="B51" s="1200"/>
      <c r="C51" s="1201"/>
      <c r="D51" s="1174"/>
      <c r="E51" s="1202" t="s">
        <v>1406</v>
      </c>
      <c r="F51" s="348">
        <f ca="1">F8</f>
        <v>365</v>
      </c>
      <c r="I51" s="1900" t="s">
        <v>1539</v>
      </c>
      <c r="J51" s="1901">
        <f>IF(J49="",J50,J49+J50-YEAR('数据-取费表'!B2))</f>
        <v>44</v>
      </c>
      <c r="K51" s="1902" t="s">
        <v>1540</v>
      </c>
      <c r="L51" s="1903">
        <f ca="1">ROUND(-PV(INDIRECT("'数据-取费表'!h"&amp;$G$1),L48,(C39-C13*C76),0),0)</f>
        <v>7614</v>
      </c>
      <c r="M51" s="1904"/>
      <c r="O51" s="1896" t="s">
        <v>1043</v>
      </c>
      <c r="P51" s="1887" t="s">
        <v>1541</v>
      </c>
      <c r="Q51" s="1899">
        <f>J52</f>
        <v>0</v>
      </c>
      <c r="R51" s="1888"/>
    </row>
    <row r="52" spans="1:18" s="1844" customFormat="1" ht="13.5" thickBot="1">
      <c r="A52" s="1198"/>
      <c r="B52" s="1200"/>
      <c r="C52" s="1201"/>
      <c r="D52" s="1174"/>
      <c r="E52" s="1202" t="s">
        <v>1407</v>
      </c>
      <c r="F52" s="1277"/>
      <c r="I52" s="1905" t="s">
        <v>1542</v>
      </c>
      <c r="J52" s="1906"/>
      <c r="K52" s="1905" t="s">
        <v>1543</v>
      </c>
      <c r="L52" s="1906"/>
      <c r="O52" s="1896" t="s">
        <v>1044</v>
      </c>
      <c r="P52" s="1887" t="s">
        <v>1544</v>
      </c>
      <c r="Q52" s="1888">
        <f ca="1">J53</f>
        <v>39.090000000000003</v>
      </c>
      <c r="R52" s="1888" t="s">
        <v>1545</v>
      </c>
    </row>
    <row r="53" spans="1:18" s="1844" customFormat="1" ht="24.75" thickBot="1">
      <c r="A53" s="1407" t="s">
        <v>1136</v>
      </c>
      <c r="B53" s="1833" t="s">
        <v>1408</v>
      </c>
      <c r="C53" s="361">
        <f ca="1">ROUND(IF(F53="押一",C49/12*F11,IF(F53="押二",C49/12*2*F11,IF(F53="押三",C49/12*3*F11,C54*F11))),0)</f>
        <v>0</v>
      </c>
      <c r="D53" s="1826" t="s">
        <v>2997</v>
      </c>
      <c r="E53" s="358" t="s">
        <v>1409</v>
      </c>
      <c r="F53" s="1368"/>
      <c r="I53" s="1907" t="s">
        <v>1546</v>
      </c>
      <c r="J53" s="1908">
        <f ca="1">IF(M47="住宅",J51,IF(D1="——",MIN(J51,L48),IF(D1="在建（套用方法）",MIN(J51,L48-'数据-取费表'!B24),IF(D1="土地（套用方法）",MIN(J51,L48-'数据-取费表'!B20)))))</f>
        <v>39.090000000000003</v>
      </c>
      <c r="K53" s="3196" t="s">
        <v>1547</v>
      </c>
      <c r="L53" s="3197"/>
      <c r="O53" s="1886" t="s">
        <v>1045</v>
      </c>
      <c r="P53" s="1887" t="s">
        <v>1548</v>
      </c>
      <c r="Q53" s="1888">
        <f ca="1">Q47+Q48</f>
        <v>27765</v>
      </c>
      <c r="R53" s="1888" t="s">
        <v>1046</v>
      </c>
    </row>
    <row r="54" spans="1:18" s="1844" customFormat="1" ht="13.5" thickBot="1">
      <c r="A54" s="1408"/>
      <c r="B54" s="1827" t="s">
        <v>1387</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1074</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8545</v>
      </c>
      <c r="D56" s="1916"/>
      <c r="E56" s="1917"/>
      <c r="F56" s="1909"/>
      <c r="I56" s="1918" t="s">
        <v>1553</v>
      </c>
      <c r="J56" s="1919" t="s">
        <v>3148</v>
      </c>
      <c r="K56" s="1889" t="s">
        <v>1554</v>
      </c>
      <c r="L56" s="1892" t="str">
        <f ca="1">IF(L48&lt;J51,"——",L48-J53)</f>
        <v>——</v>
      </c>
      <c r="O56" s="1886" t="s">
        <v>1039</v>
      </c>
      <c r="P56" s="1887" t="s">
        <v>1527</v>
      </c>
      <c r="Q56" s="1888">
        <f ca="1">C40+J29</f>
        <v>27765</v>
      </c>
      <c r="R56" s="1888" t="s">
        <v>1528</v>
      </c>
    </row>
    <row r="57" spans="1:18" s="1844" customFormat="1" ht="24.75" thickBot="1">
      <c r="A57" s="1920"/>
      <c r="B57" s="1171" t="s">
        <v>1477</v>
      </c>
      <c r="C57" s="282">
        <f ca="1">C29</f>
        <v>9936</v>
      </c>
      <c r="D57" s="1921"/>
      <c r="E57" s="1922"/>
      <c r="F57" s="1923"/>
      <c r="I57" s="1924" t="s">
        <v>1555</v>
      </c>
      <c r="J57" s="1925" t="str">
        <f ca="1">IF(OR(M47="住宅",J51&lt;L48,J56="是"),"——",J51-L48)</f>
        <v>——</v>
      </c>
      <c r="K57" s="1889" t="s">
        <v>1556</v>
      </c>
      <c r="L57" s="1892" t="str">
        <f ca="1">IF(L48&lt;J51,"——",IF(L55="比较法",L49,IF(L55="基准地价",L50,L51)))</f>
        <v>——</v>
      </c>
      <c r="O57" s="1886" t="s">
        <v>1040</v>
      </c>
      <c r="P57" s="1887" t="s">
        <v>1557</v>
      </c>
      <c r="Q57" s="1888">
        <f ca="1">L60</f>
        <v>0</v>
      </c>
      <c r="R57" s="1888" t="s">
        <v>1558</v>
      </c>
    </row>
    <row r="58" spans="1:18" s="1844" customFormat="1" ht="24.75" thickBot="1">
      <c r="A58" s="360" t="s">
        <v>1029</v>
      </c>
      <c r="B58" s="1179" t="s">
        <v>1423</v>
      </c>
      <c r="C58" s="361">
        <f ca="1">ROUND(C59+C64+C65+C66,0)</f>
        <v>1051</v>
      </c>
      <c r="D58" s="1181" t="s">
        <v>1424</v>
      </c>
      <c r="E58" s="1182"/>
      <c r="F58" s="1183"/>
      <c r="I58" s="1924" t="s">
        <v>1559</v>
      </c>
      <c r="J58" s="1926" t="e">
        <f ca="1">IF(J55&lt;0.4,0.4,J55)</f>
        <v>#VALUE!</v>
      </c>
      <c r="K58" s="1902" t="s">
        <v>1560</v>
      </c>
      <c r="L58" s="1892" t="e">
        <f ca="1">ROUND(POWER(1+L52,L47-L48)*(POWER(1+L52,L48)-1)/(POWER(1+L52,L47)-1),4)</f>
        <v>#DIV/0!</v>
      </c>
      <c r="O58" s="1896" t="s">
        <v>1041</v>
      </c>
      <c r="P58" s="1887" t="s">
        <v>1561</v>
      </c>
      <c r="Q58" s="1888">
        <f>IF(L55="比较法",L49,IF(L55="基准地价",L50,0))</f>
        <v>0</v>
      </c>
      <c r="R58" s="1888" t="s">
        <v>1528</v>
      </c>
    </row>
    <row r="59" spans="1:18" s="1844" customFormat="1" ht="24.75" thickBot="1">
      <c r="A59" s="1203" t="s">
        <v>1034</v>
      </c>
      <c r="B59" s="1171" t="s">
        <v>1428</v>
      </c>
      <c r="C59" s="24">
        <f ca="1">ROUND(IF(项目基本情况!B11="自然人",C48*F59,C60+C61+C62),1)</f>
        <v>885</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1563</v>
      </c>
      <c r="Q59" s="1899">
        <f>L52</f>
        <v>0</v>
      </c>
      <c r="R59" s="1888"/>
    </row>
    <row r="60" spans="1:18" s="1844" customFormat="1" ht="16.5" thickBot="1">
      <c r="A60" s="1203" t="s">
        <v>1033</v>
      </c>
      <c r="B60" s="1171" t="s">
        <v>1432</v>
      </c>
      <c r="C60" s="24">
        <f ca="1">IF(项目基本情况!B11="自然人","——",ROUND(C48*F60/(1+'数据-取费表'!C42),2))</f>
        <v>0</v>
      </c>
      <c r="D60" s="1185" t="s">
        <v>1433</v>
      </c>
      <c r="E60" s="1171"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1043</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834.62</v>
      </c>
      <c r="D61" s="1830" t="s">
        <v>1437</v>
      </c>
      <c r="E61" s="1171" t="s">
        <v>1493</v>
      </c>
      <c r="F61" s="367">
        <f t="shared" si="0"/>
        <v>0.12</v>
      </c>
      <c r="I61" s="1930"/>
      <c r="J61" s="1930"/>
      <c r="K61" s="1930"/>
      <c r="L61" s="1930"/>
      <c r="O61" s="1896" t="s">
        <v>1044</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50.36</v>
      </c>
      <c r="D62" s="1186" t="s">
        <v>1496</v>
      </c>
      <c r="E62" s="1171" t="s">
        <v>1497</v>
      </c>
      <c r="F62" s="371">
        <f t="shared" si="0"/>
        <v>8</v>
      </c>
      <c r="I62" s="1931" t="s">
        <v>1569</v>
      </c>
      <c r="J62" s="1932" t="s">
        <v>1570</v>
      </c>
      <c r="K62" s="1932" t="s">
        <v>1571</v>
      </c>
      <c r="L62" s="1932" t="s">
        <v>1572</v>
      </c>
      <c r="M62" s="1933" t="s">
        <v>1573</v>
      </c>
      <c r="O62" s="1886" t="s">
        <v>1045</v>
      </c>
      <c r="P62" s="1887" t="s">
        <v>1574</v>
      </c>
      <c r="Q62" s="1888">
        <f ca="1">Q56+Q57</f>
        <v>27765</v>
      </c>
      <c r="R62" s="1888" t="s">
        <v>1046</v>
      </c>
    </row>
    <row r="63" spans="1:18" s="1844" customFormat="1" ht="13.5" thickBot="1">
      <c r="A63" s="372"/>
      <c r="B63" s="1177"/>
      <c r="C63" s="29"/>
      <c r="D63" s="1187"/>
      <c r="E63" s="1171" t="s">
        <v>1498</v>
      </c>
      <c r="F63" s="348">
        <f t="shared" ca="1" si="0"/>
        <v>62946.5</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149</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17.100000000000001</v>
      </c>
      <c r="D65" s="1185" t="s">
        <v>1453</v>
      </c>
      <c r="E65" s="1171" t="s">
        <v>1454</v>
      </c>
      <c r="F65" s="376">
        <f t="shared" ca="1" si="0"/>
        <v>2E-3</v>
      </c>
      <c r="I65" s="1931" t="s">
        <v>1578</v>
      </c>
      <c r="J65" s="1932">
        <v>40</v>
      </c>
      <c r="K65" s="1932">
        <v>30</v>
      </c>
      <c r="L65" s="1932">
        <v>50</v>
      </c>
      <c r="M65" s="1934">
        <v>0.02</v>
      </c>
      <c r="O65" s="1886" t="s">
        <v>1039</v>
      </c>
      <c r="P65" s="1887" t="s">
        <v>1579</v>
      </c>
      <c r="Q65" s="1888">
        <f ca="1">C40+J29</f>
        <v>27765</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1040</v>
      </c>
      <c r="P66" s="1887" t="s">
        <v>1557</v>
      </c>
      <c r="Q66" s="1888">
        <f ca="1">L60</f>
        <v>0</v>
      </c>
      <c r="R66" s="1888" t="s">
        <v>1580</v>
      </c>
    </row>
    <row r="67" spans="1:18" s="1844" customFormat="1" ht="16.5" thickBot="1">
      <c r="A67" s="1178" t="s">
        <v>1030</v>
      </c>
      <c r="B67" s="1188" t="s">
        <v>1462</v>
      </c>
      <c r="C67" s="361">
        <f ca="1">C48-C58</f>
        <v>-1051</v>
      </c>
      <c r="D67" s="1184" t="s">
        <v>1463</v>
      </c>
      <c r="E67" s="1189"/>
      <c r="F67" s="1190"/>
      <c r="O67" s="1896" t="s">
        <v>1041</v>
      </c>
      <c r="P67" s="1887" t="s">
        <v>1561</v>
      </c>
      <c r="Q67" s="1935">
        <f ca="1">L51</f>
        <v>7614</v>
      </c>
      <c r="R67" s="1888" t="s">
        <v>1581</v>
      </c>
    </row>
    <row r="68" spans="1:18" s="1844" customFormat="1" ht="16.5" thickBot="1">
      <c r="A68" s="1168" t="s">
        <v>1031</v>
      </c>
      <c r="B68" s="1169" t="s">
        <v>1484</v>
      </c>
      <c r="C68" s="346">
        <f ca="1">ROUND(C67*(1-((1+F70)/(1+F68))^F69)/(F68-F70),0)</f>
        <v>-20603</v>
      </c>
      <c r="D68" s="1186" t="s">
        <v>1468</v>
      </c>
      <c r="E68" s="1171" t="s">
        <v>1469</v>
      </c>
      <c r="F68" s="357">
        <f ca="1">F40</f>
        <v>0.04</v>
      </c>
      <c r="O68" s="1896" t="s">
        <v>1042</v>
      </c>
      <c r="P68" s="1936" t="s">
        <v>1582</v>
      </c>
      <c r="Q68" s="1888">
        <f ca="1">ROUND(Q69-Q70*Q71,0)</f>
        <v>360</v>
      </c>
      <c r="R68" s="1888" t="s">
        <v>1050</v>
      </c>
    </row>
    <row r="69" spans="1:18" s="1844" customFormat="1" ht="13.5" thickBot="1">
      <c r="A69" s="1172"/>
      <c r="B69" s="1173"/>
      <c r="C69" s="351"/>
      <c r="D69" s="1191" t="s">
        <v>1472</v>
      </c>
      <c r="E69" s="1171" t="s">
        <v>1473</v>
      </c>
      <c r="F69" s="379">
        <f ca="1">F41</f>
        <v>39.090000000000003</v>
      </c>
      <c r="O69" s="1896" t="s">
        <v>1047</v>
      </c>
      <c r="P69" s="1936" t="s">
        <v>1583</v>
      </c>
      <c r="Q69" s="1888">
        <f ca="1">C39</f>
        <v>1044</v>
      </c>
      <c r="R69" s="1888" t="s">
        <v>1528</v>
      </c>
    </row>
    <row r="70" spans="1:18" s="1844" customFormat="1" ht="13.5" thickBot="1">
      <c r="A70" s="1175"/>
      <c r="B70" s="1176"/>
      <c r="C70" s="355"/>
      <c r="D70" s="1187"/>
      <c r="E70" s="1171" t="s">
        <v>1476</v>
      </c>
      <c r="F70" s="1277"/>
      <c r="O70" s="1896" t="s">
        <v>1048</v>
      </c>
      <c r="P70" s="1936" t="s">
        <v>1584</v>
      </c>
      <c r="Q70" s="1888">
        <f ca="1">C13</f>
        <v>8545</v>
      </c>
      <c r="R70" s="1888" t="s">
        <v>1528</v>
      </c>
    </row>
    <row r="71" spans="1:18" s="1844" customFormat="1" ht="13.5" thickBot="1">
      <c r="A71" s="1192" t="s">
        <v>1032</v>
      </c>
      <c r="B71" s="1193" t="s">
        <v>1486</v>
      </c>
      <c r="C71" s="382">
        <f ca="1">ROUND(C68*10000/F71,0)</f>
        <v>-4694</v>
      </c>
      <c r="D71" s="1194" t="s">
        <v>1487</v>
      </c>
      <c r="E71" s="1195" t="s">
        <v>1488</v>
      </c>
      <c r="F71" s="385">
        <f ca="1">F43</f>
        <v>43891.520000000004</v>
      </c>
      <c r="O71" s="1896" t="s">
        <v>1049</v>
      </c>
      <c r="P71" s="1936" t="s">
        <v>1585</v>
      </c>
      <c r="Q71" s="1899">
        <f ca="1">C76</f>
        <v>0.08</v>
      </c>
      <c r="R71" s="1888"/>
    </row>
    <row r="72" spans="1:18" s="1844" customFormat="1" ht="13.5" thickBot="1">
      <c r="B72" s="796"/>
      <c r="C72" s="796"/>
      <c r="O72" s="1896" t="s">
        <v>1043</v>
      </c>
      <c r="P72" s="1887" t="s">
        <v>1563</v>
      </c>
      <c r="Q72" s="1899">
        <f>L52</f>
        <v>0</v>
      </c>
      <c r="R72" s="1888"/>
    </row>
    <row r="73" spans="1:18" ht="16.5" thickBot="1">
      <c r="A73" s="1844"/>
      <c r="B73" s="796"/>
      <c r="C73" s="796"/>
      <c r="D73" s="1844"/>
      <c r="E73" s="1844"/>
      <c r="F73" s="1844"/>
      <c r="O73" s="1896" t="s">
        <v>1044</v>
      </c>
      <c r="P73" s="1887" t="s">
        <v>1566</v>
      </c>
      <c r="Q73" s="1888" t="e">
        <f ca="1">L58</f>
        <v>#DIV/0!</v>
      </c>
      <c r="R73" s="1888" t="s">
        <v>1567</v>
      </c>
    </row>
    <row r="74" spans="1:18" ht="13.5" thickBot="1">
      <c r="A74" s="1844"/>
      <c r="B74" s="317" t="s">
        <v>1586</v>
      </c>
      <c r="C74" s="1938"/>
      <c r="D74" s="1844"/>
      <c r="E74" s="1844"/>
      <c r="F74" s="1844"/>
      <c r="O74" s="1896" t="s">
        <v>1051</v>
      </c>
      <c r="P74" s="1887" t="str">
        <f>K59</f>
        <v>建筑物剩余耐用年限下的土地年期修正系数Kn</v>
      </c>
      <c r="Q74" s="1888" t="e">
        <f ca="1">L59</f>
        <v>#DIV/0!</v>
      </c>
      <c r="R74" s="1888" t="s">
        <v>1568</v>
      </c>
    </row>
    <row r="75" spans="1:18" ht="13.5" thickBot="1">
      <c r="A75" s="1844"/>
      <c r="B75" s="386" t="s">
        <v>1505</v>
      </c>
      <c r="C75" s="387">
        <f ca="1">ROUND(C13*C76,0)</f>
        <v>684</v>
      </c>
      <c r="D75" s="1844"/>
      <c r="E75" s="1844"/>
      <c r="F75" s="1844"/>
      <c r="K75" s="1870"/>
      <c r="L75" s="1844"/>
      <c r="O75" s="1886" t="s">
        <v>1045</v>
      </c>
      <c r="P75" s="1887" t="s">
        <v>1548</v>
      </c>
      <c r="Q75" s="1888">
        <f ca="1">Q65+Q66</f>
        <v>27765</v>
      </c>
      <c r="R75" s="1888" t="s">
        <v>1046</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0.34499999999999997</v>
      </c>
    </row>
    <row r="80" spans="1:18">
      <c r="B80" s="386" t="s">
        <v>1510</v>
      </c>
      <c r="C80" s="318">
        <f ca="1">ROUND(C75/C39,3)</f>
        <v>0.65500000000000003</v>
      </c>
    </row>
    <row r="81" spans="2:3">
      <c r="B81" s="314" t="s">
        <v>1511</v>
      </c>
      <c r="C81" s="282"/>
    </row>
    <row r="82" spans="2:3">
      <c r="B82" s="317" t="s">
        <v>1512</v>
      </c>
      <c r="C82" s="319">
        <f ca="1">1-C83</f>
        <v>0.69199999999999995</v>
      </c>
    </row>
    <row r="83" spans="2:3">
      <c r="B83" s="317" t="s">
        <v>1513</v>
      </c>
      <c r="C83" s="318">
        <f ca="1">ROUND(C13/C40,3)</f>
        <v>0.308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1386</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1034</v>
      </c>
      <c r="B6" s="3198" t="s">
        <v>1402</v>
      </c>
      <c r="C6" s="1298">
        <f ca="1">ROUND(F6*F8*F7*(1-F9),0)</f>
        <v>0</v>
      </c>
      <c r="D6" s="164" t="s">
        <v>2986</v>
      </c>
      <c r="E6" s="347" t="s">
        <v>1404</v>
      </c>
      <c r="F6" s="348">
        <f ca="1">INDIRECT("'数据-取费表'!u"&amp;$G$1)</f>
        <v>0</v>
      </c>
      <c r="G6" s="1853"/>
      <c r="H6" s="1293" t="s">
        <v>1034</v>
      </c>
      <c r="I6" s="3198" t="s">
        <v>1402</v>
      </c>
      <c r="J6" s="346">
        <f ca="1">ROUND(M6*M8*M7*(1-M9),0)</f>
        <v>0</v>
      </c>
      <c r="K6" s="1836" t="s">
        <v>2987</v>
      </c>
      <c r="L6" s="347" t="s">
        <v>1404</v>
      </c>
      <c r="M6" s="348">
        <f ca="1">INDIRECT("'数据-取费表'!z"&amp;$G$1)</f>
        <v>0</v>
      </c>
    </row>
    <row r="7" spans="1:37" ht="18" customHeight="1">
      <c r="A7" s="1297"/>
      <c r="B7" s="3199"/>
      <c r="C7" s="1299"/>
      <c r="D7" s="352"/>
      <c r="E7" s="1300" t="s">
        <v>1405</v>
      </c>
      <c r="F7" s="348">
        <f ca="1">IF(INDIRECT("'数据-取费表'!ah"&amp;$G$1)="",INDIRECT("'数据-取费表'!k"&amp;$G$1),INDIRECT("'数据-取费表'!ah"&amp;$G$1))</f>
        <v>0</v>
      </c>
      <c r="G7" s="1853"/>
      <c r="H7" s="349"/>
      <c r="I7" s="3199"/>
      <c r="J7" s="351"/>
      <c r="K7" s="352"/>
      <c r="L7" s="347" t="s">
        <v>1405</v>
      </c>
      <c r="M7" s="348">
        <f ca="1">F7</f>
        <v>0</v>
      </c>
    </row>
    <row r="8" spans="1:37" ht="18" customHeight="1">
      <c r="A8" s="349"/>
      <c r="B8" s="3199"/>
      <c r="C8" s="351"/>
      <c r="D8" s="352"/>
      <c r="E8" s="347" t="s">
        <v>1406</v>
      </c>
      <c r="F8" s="348">
        <f ca="1">INDIRECT("'数据-取费表'!ai"&amp;$G$1)</f>
        <v>0</v>
      </c>
      <c r="G8" s="1853"/>
      <c r="H8" s="349"/>
      <c r="I8" s="3199"/>
      <c r="J8" s="351"/>
      <c r="K8" s="352"/>
      <c r="L8" s="347" t="s">
        <v>1406</v>
      </c>
      <c r="M8" s="348">
        <f ca="1">INDIRECT("'数据-取费表'!ai"&amp;$G$1)</f>
        <v>0</v>
      </c>
    </row>
    <row r="9" spans="1:37" ht="18" customHeight="1">
      <c r="A9" s="349"/>
      <c r="B9" s="3200"/>
      <c r="C9" s="351"/>
      <c r="D9" s="352"/>
      <c r="E9" s="347" t="s">
        <v>1407</v>
      </c>
      <c r="F9" s="357">
        <f ca="1">INDIRECT("'数据-取费表'!w"&amp;$G$1)</f>
        <v>0</v>
      </c>
      <c r="G9" s="1853"/>
      <c r="H9" s="349"/>
      <c r="I9" s="3200"/>
      <c r="J9" s="351"/>
      <c r="K9" s="352"/>
      <c r="L9" s="358" t="s">
        <v>1407</v>
      </c>
      <c r="M9" s="359">
        <f ca="1">INDIRECT("'数据-取费表'!ab"&amp;$G$1)</f>
        <v>0</v>
      </c>
    </row>
    <row r="10" spans="1:37" ht="18" customHeight="1">
      <c r="A10" s="1293" t="s">
        <v>1038</v>
      </c>
      <c r="B10" s="1825" t="s">
        <v>1408</v>
      </c>
      <c r="C10" s="361">
        <f ca="1">ROUND(IF(F10="押一",C6/12*F11,IF(F10="押二",C6/12*2*F11,IF(F10="押三",C6/12*3*F11,C11*F11))),0)</f>
        <v>0</v>
      </c>
      <c r="D10" s="1826" t="s">
        <v>2997</v>
      </c>
      <c r="E10" s="358" t="s">
        <v>1409</v>
      </c>
      <c r="F10" s="1368"/>
      <c r="G10" s="1853"/>
      <c r="H10" s="1293" t="s">
        <v>1038</v>
      </c>
      <c r="I10" s="1825" t="s">
        <v>1408</v>
      </c>
      <c r="J10" s="346">
        <f ca="1">ROUND(IF(M10="押一",J6/12*M11,IF(M10="押二",J6/12*2*M11,IF(M10="押三",J6/12*3*M11,J11*M11))),0)</f>
        <v>0</v>
      </c>
      <c r="K10" s="1837" t="s">
        <v>2999</v>
      </c>
      <c r="L10" s="358" t="s">
        <v>1409</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1074</v>
      </c>
      <c r="B12" s="1829" t="s">
        <v>1412</v>
      </c>
      <c r="C12" s="1336"/>
      <c r="D12" s="1337"/>
      <c r="E12" s="1342"/>
      <c r="F12" s="1338"/>
      <c r="G12" s="1853"/>
      <c r="H12" s="1335" t="s">
        <v>1074</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1033</v>
      </c>
      <c r="B14" s="347" t="s">
        <v>1416</v>
      </c>
      <c r="C14" s="363">
        <f ca="1">ROUND(INDIRECT("'数据-取费表'!l"&amp;$G$1)*F43+'数据-取费表'!L14*INDIRECT("'数据-取费表'!S"&amp;$G$1),0)</f>
        <v>0</v>
      </c>
      <c r="D14" s="1802" t="s">
        <v>1417</v>
      </c>
      <c r="E14" s="1796"/>
      <c r="F14" s="364"/>
      <c r="G14" s="1853"/>
      <c r="H14" s="1203" t="s">
        <v>1034</v>
      </c>
      <c r="I14" s="347" t="s">
        <v>1418</v>
      </c>
      <c r="J14" s="24">
        <f ca="1">C29</f>
        <v>0</v>
      </c>
      <c r="K14" s="15"/>
      <c r="L14" s="982"/>
      <c r="M14" s="983"/>
    </row>
    <row r="15" spans="1:37" s="1860" customFormat="1" ht="18" customHeight="1" thickBot="1">
      <c r="A15" s="1203" t="s">
        <v>1035</v>
      </c>
      <c r="B15" s="347" t="s">
        <v>1419</v>
      </c>
      <c r="C15" s="24">
        <f ca="1">ROUND(C14*F15,0)</f>
        <v>0</v>
      </c>
      <c r="D15" s="365" t="s">
        <v>1420</v>
      </c>
      <c r="E15" s="365" t="s">
        <v>1421</v>
      </c>
      <c r="F15" s="366">
        <f>'数据-取费表'!B33</f>
        <v>0.03</v>
      </c>
      <c r="G15" s="1856"/>
      <c r="H15" s="1341" t="s">
        <v>1038</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1388</v>
      </c>
      <c r="B16" s="347" t="s">
        <v>1422</v>
      </c>
      <c r="C16" s="24">
        <f ca="1">ROUND(INDIRECT("'数据-取费表'!l"&amp;$G$1)*F43*F16,0)</f>
        <v>0</v>
      </c>
      <c r="D16" s="347" t="s">
        <v>1420</v>
      </c>
      <c r="E16" s="347" t="s">
        <v>1421</v>
      </c>
      <c r="F16" s="367">
        <f ca="1">IF(INDIRECT("'数据-取费表'!c"&amp;$G$1)="住宅",'数据-取费表'!B34,0)</f>
        <v>0</v>
      </c>
      <c r="G16" s="1853"/>
      <c r="H16" s="1331" t="s">
        <v>1029</v>
      </c>
      <c r="I16" s="1332" t="s">
        <v>1423</v>
      </c>
      <c r="J16" s="355">
        <f ca="1">ROUND(J17+J22+J23+J24,0)</f>
        <v>0</v>
      </c>
      <c r="K16" s="1339" t="s">
        <v>1424</v>
      </c>
      <c r="L16" s="1340"/>
      <c r="M16" s="1296"/>
    </row>
    <row r="17" spans="1:37" s="1860" customFormat="1" ht="18" customHeight="1">
      <c r="A17" s="1203" t="s">
        <v>1389</v>
      </c>
      <c r="B17" s="347" t="s">
        <v>1425</v>
      </c>
      <c r="C17" s="24">
        <f ca="1">ROUND(F17*(F43+INDIRECT("'数据-取费表'!S"&amp;$G$1)),0)</f>
        <v>0</v>
      </c>
      <c r="D17" s="347" t="s">
        <v>1426</v>
      </c>
      <c r="E17" s="347" t="s">
        <v>1427</v>
      </c>
      <c r="F17" s="26">
        <f>'数据-取费表'!B35</f>
        <v>150</v>
      </c>
      <c r="G17" s="1856"/>
      <c r="H17" s="1203" t="s">
        <v>1034</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1390</v>
      </c>
      <c r="B18" s="347" t="s">
        <v>1431</v>
      </c>
      <c r="C18" s="24">
        <f ca="1">ROUND(C14*F18,0)</f>
        <v>0</v>
      </c>
      <c r="D18" s="347" t="s">
        <v>1420</v>
      </c>
      <c r="E18" s="347" t="s">
        <v>1421</v>
      </c>
      <c r="F18" s="367">
        <f>'数据-取费表'!B36</f>
        <v>1.4999999999999999E-2</v>
      </c>
      <c r="G18" s="1856"/>
      <c r="H18" s="1203" t="s">
        <v>1033</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1434</v>
      </c>
      <c r="C19" s="24">
        <f ca="1">SUM(C14:C18)</f>
        <v>0</v>
      </c>
      <c r="D19" s="140" t="s">
        <v>1435</v>
      </c>
      <c r="E19" s="1820"/>
      <c r="F19" s="26"/>
      <c r="G19" s="1853"/>
      <c r="H19" s="1203" t="s">
        <v>1035</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1038</v>
      </c>
      <c r="B20" s="347" t="s">
        <v>1438</v>
      </c>
      <c r="C20" s="24">
        <f ca="1">ROUND(C19*F20,0)</f>
        <v>0</v>
      </c>
      <c r="D20" s="369" t="s">
        <v>1439</v>
      </c>
      <c r="E20" s="347" t="s">
        <v>1421</v>
      </c>
      <c r="F20" s="367">
        <f>'数据-取费表'!B37</f>
        <v>0.01</v>
      </c>
      <c r="G20" s="1856"/>
      <c r="H20" s="1203" t="s">
        <v>1388</v>
      </c>
      <c r="I20" s="164" t="s">
        <v>1440</v>
      </c>
      <c r="J20" s="25">
        <f ca="1">ROUND(M20*M21,0)</f>
        <v>0</v>
      </c>
      <c r="K20" s="370" t="s">
        <v>1441</v>
      </c>
      <c r="L20" s="347" t="s">
        <v>1442</v>
      </c>
      <c r="M20" s="371">
        <f>'数据-取费表'!B52</f>
        <v>8</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1443</v>
      </c>
      <c r="C21" s="24" t="s">
        <v>1</v>
      </c>
      <c r="D21" s="369" t="s">
        <v>1444</v>
      </c>
      <c r="E21" s="347" t="s">
        <v>1445</v>
      </c>
      <c r="F21" s="367">
        <f>'数据-取费表'!B38</f>
        <v>0.01</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1391</v>
      </c>
      <c r="B22" s="347" t="s">
        <v>1447</v>
      </c>
      <c r="C22" s="24"/>
      <c r="D22" s="140" t="str">
        <f>IF(F23&lt;=1,"单利计息。","复利计息。")&amp;"建造成本、管理费用、销售费用产生的利息。"</f>
        <v>单利计息。建造成本、管理费用、销售费用产生的利息。</v>
      </c>
      <c r="E22" s="1820"/>
      <c r="F22" s="26"/>
      <c r="G22" s="1853"/>
      <c r="H22" s="1203" t="s">
        <v>1038</v>
      </c>
      <c r="I22" s="347" t="s">
        <v>1448</v>
      </c>
      <c r="J22" s="24">
        <f ca="1">ROUND(J14*M22,0)</f>
        <v>0</v>
      </c>
      <c r="K22" s="1800" t="s">
        <v>1449</v>
      </c>
      <c r="L22" s="347" t="s">
        <v>1421</v>
      </c>
      <c r="M22" s="374">
        <f ca="1">INDIRECT("'数据-取费表'!Ak"&amp;$G$1)</f>
        <v>0</v>
      </c>
    </row>
    <row r="23" spans="1:37" s="1860" customFormat="1" ht="18" customHeight="1">
      <c r="A23" s="1203"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6"/>
      <c r="H23" s="1203" t="s">
        <v>1074</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2.0000000000000001E-4</v>
      </c>
      <c r="D24" s="375" t="str">
        <f>IF(F23&lt;=1,"销售费用×利率×(建设周期÷2)","销售费用×((1+利率)^(建设周期÷2)-1)")</f>
        <v>销售费用×利率×(建设周期÷2)</v>
      </c>
      <c r="E24" s="347" t="s">
        <v>1457</v>
      </c>
      <c r="F24" s="377">
        <f ca="1">'数据-取费表'!B40</f>
        <v>4.3499999999999997E-2</v>
      </c>
      <c r="G24" s="1856"/>
      <c r="H24" s="1341" t="s">
        <v>1392</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1030</v>
      </c>
      <c r="I25" s="1346" t="s">
        <v>1462</v>
      </c>
      <c r="J25" s="355">
        <f ca="1">J5-J16</f>
        <v>0</v>
      </c>
      <c r="K25" s="1347" t="s">
        <v>1463</v>
      </c>
      <c r="L25" s="1348"/>
      <c r="M25" s="1349"/>
    </row>
    <row r="26" spans="1:37" ht="18" customHeight="1">
      <c r="A26" s="1203" t="s">
        <v>1033</v>
      </c>
      <c r="B26" s="347" t="s">
        <v>1464</v>
      </c>
      <c r="C26" s="24">
        <f ca="1">ROUND((C19+C20)*F26,0)</f>
        <v>0</v>
      </c>
      <c r="D26" s="369" t="s">
        <v>1465</v>
      </c>
      <c r="E26" s="358" t="s">
        <v>1466</v>
      </c>
      <c r="F26" s="357">
        <f ca="1">INDIRECT("'数据-取费表'!q"&amp;$G$1)</f>
        <v>0</v>
      </c>
      <c r="G26" s="1853"/>
      <c r="H26" s="344" t="s">
        <v>1031</v>
      </c>
      <c r="I26" s="345" t="s">
        <v>1467</v>
      </c>
      <c r="J26" s="346">
        <f ca="1">IF(J5&lt;&gt;0,ROUND(J25*(1-((1+M28)/(1+M26))^M27)/(M26-M28),0),0)</f>
        <v>0</v>
      </c>
      <c r="K26" s="370" t="s">
        <v>1468</v>
      </c>
      <c r="L26" s="347" t="s">
        <v>1469</v>
      </c>
      <c r="M26" s="357">
        <f ca="1">INDIRECT("'数据-取费表'!I"&amp;$G$1)</f>
        <v>0</v>
      </c>
    </row>
    <row r="27" spans="1:37" ht="18" customHeight="1">
      <c r="A27" s="1203" t="s">
        <v>1035</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1036</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1477</v>
      </c>
      <c r="C29" s="1343">
        <f ca="1">ROUND((C19+C20+C23+C26)/(1-F21-C24-C27-C28),0)</f>
        <v>0</v>
      </c>
      <c r="D29" s="1344"/>
      <c r="E29" s="1342"/>
      <c r="F29" s="1345"/>
      <c r="G29" s="1856"/>
      <c r="H29" s="380" t="s">
        <v>1032</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1423</v>
      </c>
      <c r="C30" s="355">
        <f ca="1">ROUND(C31+C36+C37+C38,0)</f>
        <v>0</v>
      </c>
      <c r="D30" s="1339" t="s">
        <v>1424</v>
      </c>
      <c r="E30" s="1340"/>
      <c r="F30" s="1296"/>
      <c r="G30" s="1853"/>
      <c r="H30" s="745"/>
      <c r="I30" s="746"/>
      <c r="J30" s="747"/>
      <c r="K30" s="748"/>
      <c r="L30" s="749"/>
      <c r="M30" s="750"/>
    </row>
    <row r="31" spans="1:37" ht="18" customHeight="1">
      <c r="A31" s="1203" t="s">
        <v>1034</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1033</v>
      </c>
      <c r="B32" s="347" t="s">
        <v>1432</v>
      </c>
      <c r="C32" s="24">
        <f ca="1">IF(项目基本情况!B11="自然人","——",ROUND(C5*F32/(1+'数据-取费表'!C42),0))</f>
        <v>0</v>
      </c>
      <c r="D32" s="1800" t="s">
        <v>1433</v>
      </c>
      <c r="E32" s="347" t="s">
        <v>1421</v>
      </c>
      <c r="F32" s="377">
        <f>'数据-取费表'!B41</f>
        <v>5.6000000000000001E-2</v>
      </c>
      <c r="G32" s="1853"/>
      <c r="H32" s="745"/>
      <c r="I32" s="746"/>
      <c r="J32" s="747"/>
      <c r="K32" s="748"/>
      <c r="L32" s="749"/>
      <c r="M32" s="750"/>
    </row>
    <row r="33" spans="1:18" ht="18" customHeight="1">
      <c r="A33" s="1203" t="s">
        <v>1035</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1388</v>
      </c>
      <c r="B34" s="164" t="s">
        <v>1440</v>
      </c>
      <c r="C34" s="25">
        <f ca="1">IF(项目基本情况!B11="自然人","——",ROUND(F34*F35,))</f>
        <v>0</v>
      </c>
      <c r="D34" s="370" t="s">
        <v>1441</v>
      </c>
      <c r="E34" s="347" t="s">
        <v>1442</v>
      </c>
      <c r="F34" s="371">
        <f>'数据-取费表'!B52</f>
        <v>8</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1038</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1074</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1392</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1030</v>
      </c>
      <c r="B39" s="1346" t="s">
        <v>1482</v>
      </c>
      <c r="C39" s="355">
        <f ca="1">C5-C30</f>
        <v>0</v>
      </c>
      <c r="D39" s="1347" t="s">
        <v>1483</v>
      </c>
      <c r="E39" s="1348"/>
      <c r="F39" s="1349"/>
      <c r="G39" s="1853"/>
      <c r="H39" s="1861"/>
      <c r="I39" s="1862"/>
      <c r="J39" s="1863"/>
      <c r="K39" s="1867"/>
      <c r="L39" s="1861"/>
      <c r="M39" s="1861"/>
    </row>
    <row r="40" spans="1:18" ht="18" customHeight="1">
      <c r="A40" s="344" t="s">
        <v>1031</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1395</v>
      </c>
      <c r="B47" s="1199" t="s">
        <v>1396</v>
      </c>
      <c r="C47" s="1199" t="s">
        <v>1397</v>
      </c>
      <c r="D47" s="1199" t="s">
        <v>1398</v>
      </c>
      <c r="E47" s="1281" t="s">
        <v>1399</v>
      </c>
      <c r="F47" s="1282"/>
      <c r="G47" s="792"/>
      <c r="I47" s="1882" t="s">
        <v>1525</v>
      </c>
      <c r="J47" s="1883"/>
      <c r="K47" s="1884" t="s">
        <v>1526</v>
      </c>
      <c r="L47" s="1885">
        <f ca="1">INDIRECT("'数据-取费表'!d"&amp;$G$1)</f>
        <v>0</v>
      </c>
      <c r="M47" s="1840" t="str">
        <f>IF(ISNUMBER(FIND("住宅",C1)),"住宅","非住宅")</f>
        <v>非住宅</v>
      </c>
      <c r="O47" s="1886" t="s">
        <v>1039</v>
      </c>
      <c r="P47" s="1887" t="s">
        <v>1527</v>
      </c>
      <c r="Q47" s="1888" t="e">
        <f ca="1">C40+J29</f>
        <v>#DIV/0!</v>
      </c>
      <c r="R47" s="1888" t="s">
        <v>1528</v>
      </c>
    </row>
    <row r="48" spans="1:18" s="1844" customFormat="1" ht="28.5" thickBot="1">
      <c r="A48" s="1362" t="s">
        <v>1134</v>
      </c>
      <c r="B48" s="345" t="s">
        <v>1400</v>
      </c>
      <c r="C48" s="1819">
        <f ca="1">C49+C53+C55</f>
        <v>0</v>
      </c>
      <c r="D48" s="1364"/>
      <c r="E48" s="1365"/>
      <c r="F48" s="1183"/>
      <c r="G48" s="792"/>
      <c r="H48" s="793"/>
      <c r="I48" s="1889" t="s">
        <v>1529</v>
      </c>
      <c r="J48" s="1890"/>
      <c r="K48" s="1891" t="s">
        <v>1530</v>
      </c>
      <c r="L48" s="1892">
        <f ca="1">INDIRECT("'数据-取费表'!f"&amp;$G$1)</f>
        <v>0</v>
      </c>
      <c r="O48" s="1886" t="s">
        <v>1040</v>
      </c>
      <c r="P48" s="1887" t="s">
        <v>1531</v>
      </c>
      <c r="Q48" s="1888" t="e">
        <f ca="1">J60</f>
        <v>#DIV/0!</v>
      </c>
      <c r="R48" s="1888" t="s">
        <v>1532</v>
      </c>
    </row>
    <row r="49" spans="1:18" s="1844" customFormat="1" ht="13.5" thickBot="1">
      <c r="A49" s="1196" t="s">
        <v>1135</v>
      </c>
      <c r="B49" s="1831" t="s">
        <v>1489</v>
      </c>
      <c r="C49" s="1366">
        <f ca="1">ROUND(F49*F51*F50*(1-F52),0)</f>
        <v>0</v>
      </c>
      <c r="D49" s="1278" t="s">
        <v>1403</v>
      </c>
      <c r="E49" s="1832" t="s">
        <v>1490</v>
      </c>
      <c r="F49" s="1283"/>
      <c r="G49" s="1893"/>
      <c r="H49" s="793"/>
      <c r="I49" s="1889" t="s">
        <v>1533</v>
      </c>
      <c r="J49" s="1894"/>
      <c r="K49" s="1891" t="s">
        <v>1534</v>
      </c>
      <c r="L49" s="1895"/>
      <c r="O49" s="1896" t="s">
        <v>1041</v>
      </c>
      <c r="P49" s="1887" t="s">
        <v>1535</v>
      </c>
      <c r="Q49" s="1888">
        <f ca="1">C29</f>
        <v>0</v>
      </c>
      <c r="R49" s="1888" t="s">
        <v>1528</v>
      </c>
    </row>
    <row r="50" spans="1:18" s="1844" customFormat="1" ht="13.5" thickBot="1">
      <c r="A50" s="1197"/>
      <c r="B50" s="1200"/>
      <c r="C50" s="1201"/>
      <c r="D50" s="1174"/>
      <c r="E50" s="1279" t="s">
        <v>1405</v>
      </c>
      <c r="F50" s="1280">
        <f ca="1">F7</f>
        <v>0</v>
      </c>
      <c r="H50" s="793"/>
      <c r="I50" s="1889" t="s">
        <v>1536</v>
      </c>
      <c r="J50" s="1897">
        <f>SUMPRODUCT((I63:I65=J47)*(J62:L62=J48)*(J63:L65))</f>
        <v>0</v>
      </c>
      <c r="K50" s="1891" t="s">
        <v>1537</v>
      </c>
      <c r="L50" s="1895"/>
      <c r="M50" s="1898"/>
      <c r="O50" s="1896" t="s">
        <v>1042</v>
      </c>
      <c r="P50" s="1887" t="s">
        <v>1538</v>
      </c>
      <c r="Q50" s="1899" t="e">
        <f ca="1">J58</f>
        <v>#DIV/0!</v>
      </c>
      <c r="R50" s="1888"/>
    </row>
    <row r="51" spans="1:18" s="1844" customFormat="1" ht="13.5" thickBot="1">
      <c r="A51" s="1198"/>
      <c r="B51" s="1200"/>
      <c r="C51" s="1201"/>
      <c r="D51" s="1174"/>
      <c r="E51" s="1202" t="s">
        <v>1406</v>
      </c>
      <c r="F51" s="348">
        <f ca="1">F8</f>
        <v>0</v>
      </c>
      <c r="I51" s="1900" t="s">
        <v>1539</v>
      </c>
      <c r="J51" s="1901">
        <f>IF(J49="",J50,J49+J50-YEAR('数据-取费表'!B2))</f>
        <v>0</v>
      </c>
      <c r="K51" s="1902" t="s">
        <v>1540</v>
      </c>
      <c r="L51" s="1903">
        <f ca="1">ROUND(-PV(INDIRECT("'数据-取费表'!h"&amp;$G$1),L48,(C39-C13*C76),0),0)</f>
        <v>0</v>
      </c>
      <c r="M51" s="1904"/>
      <c r="O51" s="1896" t="s">
        <v>1043</v>
      </c>
      <c r="P51" s="1887" t="s">
        <v>1541</v>
      </c>
      <c r="Q51" s="1899">
        <f>J52</f>
        <v>0</v>
      </c>
      <c r="R51" s="1888"/>
    </row>
    <row r="52" spans="1:18" s="1844" customFormat="1" ht="13.5" thickBot="1">
      <c r="A52" s="1198"/>
      <c r="B52" s="1200"/>
      <c r="C52" s="1201"/>
      <c r="D52" s="1174"/>
      <c r="E52" s="1202" t="s">
        <v>1407</v>
      </c>
      <c r="F52" s="1277"/>
      <c r="I52" s="1905" t="s">
        <v>1542</v>
      </c>
      <c r="J52" s="1906"/>
      <c r="K52" s="1905" t="s">
        <v>1543</v>
      </c>
      <c r="L52" s="1906"/>
      <c r="O52" s="1896" t="s">
        <v>1044</v>
      </c>
      <c r="P52" s="1887" t="s">
        <v>1544</v>
      </c>
      <c r="Q52" s="1888" t="b">
        <f>J53</f>
        <v>0</v>
      </c>
      <c r="R52" s="1888" t="s">
        <v>1545</v>
      </c>
    </row>
    <row r="53" spans="1:18" s="1844" customFormat="1" ht="30.75" customHeight="1" thickBot="1">
      <c r="A53" s="1363" t="s">
        <v>1136</v>
      </c>
      <c r="B53" s="369" t="s">
        <v>1408</v>
      </c>
      <c r="C53" s="361">
        <f ca="1">ROUND(IF(F53="押一",C49/12*F11,IF(F53="押二",C49/12*2*F11,IF(F53="押三",C49/12*3*F11,C54*F11))),0)</f>
        <v>0</v>
      </c>
      <c r="D53" s="1826" t="s">
        <v>3000</v>
      </c>
      <c r="E53" s="358" t="s">
        <v>1409</v>
      </c>
      <c r="F53" s="1368"/>
      <c r="I53" s="1907" t="s">
        <v>1546</v>
      </c>
      <c r="J53" s="1908" t="b">
        <f>IF(M47="住宅",J51,IF(D1="——",MIN(J51,L48),IF(D1="在建（套用方法）",MIN(J51,L48-'数据-取费表'!B24),IF(D1="土地（套用方法）",MIN(J51,L48-'数据-取费表'!B20)))))</f>
        <v>0</v>
      </c>
      <c r="K53" s="3196" t="s">
        <v>1547</v>
      </c>
      <c r="L53" s="3197"/>
      <c r="O53" s="1886" t="s">
        <v>1045</v>
      </c>
      <c r="P53" s="1887" t="s">
        <v>1548</v>
      </c>
      <c r="Q53" s="1888" t="e">
        <f ca="1">Q47+Q48</f>
        <v>#DIV/0!</v>
      </c>
      <c r="R53" s="1888" t="s">
        <v>1046</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1074</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1039</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1040</v>
      </c>
      <c r="P57" s="1887" t="s">
        <v>1605</v>
      </c>
      <c r="Q57" s="1888" t="e">
        <f ca="1">L60</f>
        <v>#DIV/0!</v>
      </c>
      <c r="R57" s="1888" t="s">
        <v>1606</v>
      </c>
    </row>
    <row r="58" spans="1:18" s="1844" customFormat="1" ht="24.75" thickBot="1">
      <c r="A58" s="360" t="s">
        <v>1029</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1041</v>
      </c>
      <c r="P58" s="1887" t="s">
        <v>1561</v>
      </c>
      <c r="Q58" s="1888">
        <f>IF(L55="比较法",L49,IF(L55="基准地价",L50,0))</f>
        <v>0</v>
      </c>
      <c r="R58" s="1888" t="s">
        <v>1528</v>
      </c>
    </row>
    <row r="59" spans="1:18" s="1844" customFormat="1" ht="24.75" thickBot="1">
      <c r="A59" s="1203" t="s">
        <v>1034</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1563</v>
      </c>
      <c r="Q59" s="1899">
        <f>L52</f>
        <v>0</v>
      </c>
      <c r="R59" s="1888"/>
    </row>
    <row r="60" spans="1:18" s="1844" customFormat="1" ht="16.5" thickBot="1">
      <c r="A60" s="1203" t="s">
        <v>1033</v>
      </c>
      <c r="B60" s="1171" t="s">
        <v>1432</v>
      </c>
      <c r="C60" s="24">
        <f ca="1">IF(项目基本情况!B11="自然人","——",ROUND(C48*F60/(1+'数据-取费表'!C42),0))</f>
        <v>0</v>
      </c>
      <c r="D60" s="1185" t="s">
        <v>1433</v>
      </c>
      <c r="E60" s="1171"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1043</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1044</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8</v>
      </c>
      <c r="I62" s="1931" t="s">
        <v>1569</v>
      </c>
      <c r="J62" s="1932" t="s">
        <v>1570</v>
      </c>
      <c r="K62" s="1932" t="s">
        <v>1571</v>
      </c>
      <c r="L62" s="1932" t="s">
        <v>1572</v>
      </c>
      <c r="M62" s="1933" t="s">
        <v>1573</v>
      </c>
      <c r="O62" s="1886" t="s">
        <v>1045</v>
      </c>
      <c r="P62" s="1887" t="s">
        <v>1574</v>
      </c>
      <c r="Q62" s="1888" t="e">
        <f ca="1">Q56+Q57</f>
        <v>#DIV/0!</v>
      </c>
      <c r="R62" s="1888" t="s">
        <v>1046</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1039</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1040</v>
      </c>
      <c r="P66" s="1887" t="s">
        <v>1557</v>
      </c>
      <c r="Q66" s="1888" t="e">
        <f ca="1">L60</f>
        <v>#DIV/0!</v>
      </c>
      <c r="R66" s="1888" t="s">
        <v>1580</v>
      </c>
    </row>
    <row r="67" spans="1:18" s="1844" customFormat="1" ht="16.5" thickBot="1">
      <c r="A67" s="1178" t="s">
        <v>1030</v>
      </c>
      <c r="B67" s="1188" t="s">
        <v>1462</v>
      </c>
      <c r="C67" s="361">
        <f ca="1">C48-C58</f>
        <v>0</v>
      </c>
      <c r="D67" s="1184" t="s">
        <v>1463</v>
      </c>
      <c r="E67" s="1189"/>
      <c r="F67" s="1190"/>
      <c r="O67" s="1896" t="s">
        <v>1041</v>
      </c>
      <c r="P67" s="1887" t="s">
        <v>1561</v>
      </c>
      <c r="Q67" s="1935">
        <f ca="1">L51</f>
        <v>0</v>
      </c>
      <c r="R67" s="1888" t="s">
        <v>1581</v>
      </c>
    </row>
    <row r="68" spans="1:18" s="1844" customFormat="1" ht="16.5" thickBot="1">
      <c r="A68" s="1168" t="s">
        <v>1031</v>
      </c>
      <c r="B68" s="1169" t="s">
        <v>1484</v>
      </c>
      <c r="C68" s="346" t="e">
        <f ca="1">ROUND(C67*(1-((1+F70)/(1+F68))^F69)/(F68-F70),0)</f>
        <v>#DIV/0!</v>
      </c>
      <c r="D68" s="1186" t="s">
        <v>1468</v>
      </c>
      <c r="E68" s="1171" t="s">
        <v>1469</v>
      </c>
      <c r="F68" s="357">
        <f ca="1">F40</f>
        <v>0</v>
      </c>
      <c r="O68" s="1896" t="s">
        <v>1042</v>
      </c>
      <c r="P68" s="1936" t="s">
        <v>1582</v>
      </c>
      <c r="Q68" s="1888">
        <f ca="1">ROUND(Q69-Q70*Q71,0)</f>
        <v>0</v>
      </c>
      <c r="R68" s="1888" t="s">
        <v>1050</v>
      </c>
    </row>
    <row r="69" spans="1:18" s="1844" customFormat="1" ht="13.5" thickBot="1">
      <c r="A69" s="1172"/>
      <c r="B69" s="1173"/>
      <c r="C69" s="351"/>
      <c r="D69" s="1191" t="s">
        <v>1472</v>
      </c>
      <c r="E69" s="1171" t="s">
        <v>1473</v>
      </c>
      <c r="F69" s="379">
        <f ca="1">F41</f>
        <v>0</v>
      </c>
      <c r="O69" s="1896" t="s">
        <v>1047</v>
      </c>
      <c r="P69" s="1936" t="s">
        <v>1583</v>
      </c>
      <c r="Q69" s="1888">
        <f ca="1">C39</f>
        <v>0</v>
      </c>
      <c r="R69" s="1888" t="s">
        <v>1528</v>
      </c>
    </row>
    <row r="70" spans="1:18" s="1844" customFormat="1" ht="13.5" thickBot="1">
      <c r="A70" s="1175"/>
      <c r="B70" s="1176"/>
      <c r="C70" s="355"/>
      <c r="D70" s="1187"/>
      <c r="E70" s="1171" t="s">
        <v>1476</v>
      </c>
      <c r="F70" s="1277">
        <f ca="1">F42</f>
        <v>0</v>
      </c>
      <c r="O70" s="1896" t="s">
        <v>1048</v>
      </c>
      <c r="P70" s="1936" t="s">
        <v>1584</v>
      </c>
      <c r="Q70" s="1888">
        <f ca="1">C13</f>
        <v>0</v>
      </c>
      <c r="R70" s="1888" t="s">
        <v>1528</v>
      </c>
    </row>
    <row r="71" spans="1:18" s="1844" customFormat="1" ht="13.5" thickBot="1">
      <c r="A71" s="1192" t="s">
        <v>1032</v>
      </c>
      <c r="B71" s="1193" t="s">
        <v>1486</v>
      </c>
      <c r="C71" s="382" t="e">
        <f ca="1">ROUND(C68/F71,0)</f>
        <v>#DIV/0!</v>
      </c>
      <c r="D71" s="1194" t="s">
        <v>1487</v>
      </c>
      <c r="E71" s="1195" t="s">
        <v>1488</v>
      </c>
      <c r="F71" s="385">
        <f ca="1">F43</f>
        <v>0</v>
      </c>
      <c r="O71" s="1896" t="s">
        <v>1049</v>
      </c>
      <c r="P71" s="1936" t="s">
        <v>1585</v>
      </c>
      <c r="Q71" s="1899">
        <f ca="1">C76</f>
        <v>0</v>
      </c>
      <c r="R71" s="1888"/>
    </row>
    <row r="72" spans="1:18" s="1844" customFormat="1" ht="13.5" thickBot="1">
      <c r="B72" s="796"/>
      <c r="C72" s="796"/>
      <c r="O72" s="1896" t="s">
        <v>1043</v>
      </c>
      <c r="P72" s="1887" t="s">
        <v>1563</v>
      </c>
      <c r="Q72" s="1899">
        <f>L52</f>
        <v>0</v>
      </c>
      <c r="R72" s="1888"/>
    </row>
    <row r="73" spans="1:18" ht="16.5" thickBot="1">
      <c r="A73" s="1844"/>
      <c r="B73" s="796"/>
      <c r="C73" s="796"/>
      <c r="D73" s="1844"/>
      <c r="E73" s="1844"/>
      <c r="F73" s="1844"/>
      <c r="O73" s="1896" t="s">
        <v>1044</v>
      </c>
      <c r="P73" s="1887" t="s">
        <v>1566</v>
      </c>
      <c r="Q73" s="1888" t="e">
        <f ca="1">L58</f>
        <v>#DIV/0!</v>
      </c>
      <c r="R73" s="1888" t="s">
        <v>1567</v>
      </c>
    </row>
    <row r="74" spans="1:18" ht="13.5" thickBot="1">
      <c r="A74" s="1844"/>
      <c r="B74" s="317" t="s">
        <v>1586</v>
      </c>
      <c r="C74" s="1938"/>
      <c r="D74" s="1844"/>
      <c r="E74" s="1844"/>
      <c r="F74" s="1844"/>
      <c r="O74" s="1896" t="s">
        <v>1051</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1045</v>
      </c>
      <c r="P75" s="1887" t="s">
        <v>1548</v>
      </c>
      <c r="Q75" s="1888" t="e">
        <f ca="1">Q65+Q66</f>
        <v>#DIV/0!</v>
      </c>
      <c r="R75" s="1888" t="s">
        <v>1046</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2482</v>
      </c>
      <c r="B1" s="2562"/>
      <c r="C1" s="2562"/>
      <c r="D1" s="2562"/>
      <c r="E1" s="2563"/>
    </row>
    <row r="2" spans="1:6" ht="15.75">
      <c r="A2" s="2564" t="s">
        <v>2283</v>
      </c>
      <c r="B2" s="2565">
        <f ca="1">SUMIF(B6:B13,"&lt;&gt;#ref!",B6:B13)</f>
        <v>27765</v>
      </c>
      <c r="C2" s="2566" t="s">
        <v>2475</v>
      </c>
      <c r="D2" s="2567" t="s">
        <v>2476</v>
      </c>
      <c r="E2" s="2568">
        <f>SUM(E6:E13)</f>
        <v>45029.380000000005</v>
      </c>
    </row>
    <row r="3" spans="1:6" ht="15.75">
      <c r="A3" s="2564" t="s">
        <v>1394</v>
      </c>
      <c r="B3" s="2565">
        <f ca="1">ROUND(B2*10000/E2,0)</f>
        <v>6166</v>
      </c>
      <c r="C3" s="2566" t="s">
        <v>2483</v>
      </c>
      <c r="D3" s="2569"/>
      <c r="E3" s="2570"/>
    </row>
    <row r="4" spans="1:6" ht="15.75">
      <c r="A4" s="2571"/>
      <c r="B4" s="2569"/>
      <c r="C4" s="2569"/>
      <c r="D4" s="2569"/>
      <c r="E4" s="2570"/>
    </row>
    <row r="5" spans="1:6" ht="15">
      <c r="A5" s="2572" t="s">
        <v>2477</v>
      </c>
      <c r="B5" s="3201" t="s">
        <v>2478</v>
      </c>
      <c r="C5" s="3201"/>
      <c r="D5" s="2573"/>
      <c r="E5" s="2574" t="s">
        <v>2479</v>
      </c>
      <c r="F5" s="2575" t="s">
        <v>2480</v>
      </c>
    </row>
    <row r="6" spans="1:6">
      <c r="A6" s="2576" t="str">
        <f>'数据-取费表'!AN6</f>
        <v>收益法</v>
      </c>
      <c r="B6" s="2575">
        <f ca="1">IF(F6="是",'数据-取费表'!AO6,0)</f>
        <v>27765</v>
      </c>
      <c r="C6" s="2566" t="s">
        <v>2475</v>
      </c>
      <c r="D6" s="2569"/>
      <c r="E6" s="2577">
        <f>IF(OR(A6=0,F6="否"),0,'数据-取费表'!K6+'数据-取费表'!S6)</f>
        <v>45029.380000000005</v>
      </c>
      <c r="F6" s="2578" t="s">
        <v>2481</v>
      </c>
    </row>
    <row r="7" spans="1:6">
      <c r="A7" s="2576">
        <f>'数据-取费表'!AN7</f>
        <v>0</v>
      </c>
      <c r="B7" s="2575" t="e">
        <f ca="1">IF(F7="是",'数据-取费表'!AO7,0)</f>
        <v>#REF!</v>
      </c>
      <c r="C7" s="2566" t="s">
        <v>2475</v>
      </c>
      <c r="D7" s="2569"/>
      <c r="E7" s="2577">
        <f>IF(OR(A7=0,F7="否"),0,'数据-取费表'!K7+'数据-取费表'!S7)</f>
        <v>0</v>
      </c>
      <c r="F7" s="2578" t="s">
        <v>2481</v>
      </c>
    </row>
    <row r="8" spans="1:6">
      <c r="A8" s="2576">
        <f>'数据-取费表'!AN8</f>
        <v>0</v>
      </c>
      <c r="B8" s="2575" t="e">
        <f ca="1">IF(F8="是",'数据-取费表'!AO8,0)</f>
        <v>#REF!</v>
      </c>
      <c r="C8" s="2566" t="s">
        <v>2475</v>
      </c>
      <c r="D8" s="2569"/>
      <c r="E8" s="2577">
        <f>IF(OR(A8=0,F8="否"),0,'数据-取费表'!K8+'数据-取费表'!S8)</f>
        <v>0</v>
      </c>
      <c r="F8" s="2578" t="s">
        <v>2481</v>
      </c>
    </row>
    <row r="9" spans="1:6">
      <c r="A9" s="2576">
        <f>'数据-取费表'!AN9</f>
        <v>0</v>
      </c>
      <c r="B9" s="2575" t="e">
        <f ca="1">IF(F9="是",'数据-取费表'!AO9,0)</f>
        <v>#REF!</v>
      </c>
      <c r="C9" s="2566" t="s">
        <v>2475</v>
      </c>
      <c r="D9" s="2569"/>
      <c r="E9" s="2577">
        <f>IF(OR(A9=0,F9="否"),0,'数据-取费表'!K9+'数据-取费表'!S9)</f>
        <v>0</v>
      </c>
      <c r="F9" s="2578" t="s">
        <v>2481</v>
      </c>
    </row>
    <row r="10" spans="1:6">
      <c r="A10" s="2576">
        <f>'数据-取费表'!AN10</f>
        <v>0</v>
      </c>
      <c r="B10" s="2575" t="e">
        <f ca="1">IF(F10="是",'数据-取费表'!AO10,0)</f>
        <v>#REF!</v>
      </c>
      <c r="C10" s="2566" t="s">
        <v>2475</v>
      </c>
      <c r="D10" s="2569"/>
      <c r="E10" s="2577">
        <f>IF(OR(A10=0,F10="否"),0,'数据-取费表'!K10+'数据-取费表'!S10)</f>
        <v>0</v>
      </c>
      <c r="F10" s="2578" t="s">
        <v>2481</v>
      </c>
    </row>
    <row r="11" spans="1:6">
      <c r="A11" s="2576">
        <f>'数据-取费表'!AN11</f>
        <v>0</v>
      </c>
      <c r="B11" s="2575" t="e">
        <f ca="1">IF(F11="是",'数据-取费表'!AO11,0)</f>
        <v>#REF!</v>
      </c>
      <c r="C11" s="2566" t="s">
        <v>2475</v>
      </c>
      <c r="D11" s="2569"/>
      <c r="E11" s="2577">
        <f>IF(OR(A11=0,F11="否"),0,'数据-取费表'!K11+'数据-取费表'!S11)</f>
        <v>0</v>
      </c>
      <c r="F11" s="2578" t="s">
        <v>2481</v>
      </c>
    </row>
    <row r="12" spans="1:6">
      <c r="A12" s="2576">
        <f>'数据-取费表'!AN12</f>
        <v>0</v>
      </c>
      <c r="B12" s="2575" t="e">
        <f ca="1">IF(F12="是",'数据-取费表'!AO12,0)</f>
        <v>#REF!</v>
      </c>
      <c r="C12" s="2566" t="s">
        <v>2475</v>
      </c>
      <c r="D12" s="2569"/>
      <c r="E12" s="2577">
        <f>IF(OR(A12=0,F12="否"),0,'数据-取费表'!K12+'数据-取费表'!S12)</f>
        <v>0</v>
      </c>
      <c r="F12" s="2578" t="s">
        <v>2481</v>
      </c>
    </row>
    <row r="13" spans="1:6" ht="15" thickBot="1">
      <c r="A13" s="2579">
        <f>'数据-取费表'!AN13</f>
        <v>0</v>
      </c>
      <c r="B13" s="2575" t="e">
        <f ca="1">IF(F13="是",'数据-取费表'!AO13,0)</f>
        <v>#REF!</v>
      </c>
      <c r="C13" s="2580" t="s">
        <v>2475</v>
      </c>
      <c r="D13" s="2581"/>
      <c r="E13" s="2577">
        <f>IF(OR(A13=0,F13="否"),0,'数据-取费表'!K13+'数据-取费表'!S13)</f>
        <v>0</v>
      </c>
      <c r="F13" s="2578"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2" t="s">
        <v>1075</v>
      </c>
      <c r="B1" s="3203"/>
      <c r="C1" s="3204"/>
      <c r="D1" s="3205">
        <f>SUM(I10,I15,I20,I21,I23)</f>
        <v>0</v>
      </c>
      <c r="E1" s="3205"/>
      <c r="F1" s="3205"/>
      <c r="G1" s="3205"/>
      <c r="H1" s="3205"/>
      <c r="I1" s="3206"/>
    </row>
    <row r="2" spans="1:9">
      <c r="A2" s="3207" t="s">
        <v>1076</v>
      </c>
      <c r="B2" s="3208" t="s">
        <v>1077</v>
      </c>
      <c r="C2" s="3208"/>
      <c r="D2" s="1303" t="s">
        <v>1078</v>
      </c>
      <c r="E2" s="1303" t="s">
        <v>1079</v>
      </c>
      <c r="F2" s="1303" t="s">
        <v>1080</v>
      </c>
      <c r="G2" s="1303" t="s">
        <v>1081</v>
      </c>
      <c r="H2" s="1303" t="s">
        <v>1082</v>
      </c>
      <c r="I2" s="1304" t="s">
        <v>1083</v>
      </c>
    </row>
    <row r="3" spans="1:9">
      <c r="A3" s="3207"/>
      <c r="B3" s="3208" t="s">
        <v>1084</v>
      </c>
      <c r="C3" s="3208"/>
      <c r="D3" s="1305"/>
      <c r="E3" s="1303"/>
      <c r="F3" s="1306"/>
      <c r="G3" s="1306"/>
      <c r="H3" s="1307"/>
      <c r="I3" s="1308">
        <f>ROUND(D3*E3*F3*G3*H3/10000,0)</f>
        <v>0</v>
      </c>
    </row>
    <row r="4" spans="1:9">
      <c r="A4" s="3207"/>
      <c r="B4" s="3208" t="s">
        <v>1085</v>
      </c>
      <c r="C4" s="3208"/>
      <c r="D4" s="1305"/>
      <c r="E4" s="1303"/>
      <c r="F4" s="1306"/>
      <c r="G4" s="1306"/>
      <c r="H4" s="1307"/>
      <c r="I4" s="1308">
        <f t="shared" ref="I4:I9" si="0">ROUND(D4*E4*F4*G4*H4/10000,0)</f>
        <v>0</v>
      </c>
    </row>
    <row r="5" spans="1:9">
      <c r="A5" s="3207"/>
      <c r="B5" s="3208" t="s">
        <v>1086</v>
      </c>
      <c r="C5" s="3208"/>
      <c r="D5" s="1305"/>
      <c r="E5" s="1303"/>
      <c r="F5" s="1306"/>
      <c r="G5" s="1306"/>
      <c r="H5" s="1307"/>
      <c r="I5" s="1308">
        <f t="shared" si="0"/>
        <v>0</v>
      </c>
    </row>
    <row r="6" spans="1:9">
      <c r="A6" s="3207"/>
      <c r="B6" s="3208" t="s">
        <v>1087</v>
      </c>
      <c r="C6" s="3208"/>
      <c r="D6" s="1305"/>
      <c r="E6" s="1303"/>
      <c r="F6" s="1306"/>
      <c r="G6" s="1306"/>
      <c r="H6" s="1307"/>
      <c r="I6" s="1308">
        <f t="shared" si="0"/>
        <v>0</v>
      </c>
    </row>
    <row r="7" spans="1:9">
      <c r="A7" s="3207"/>
      <c r="B7" s="3208" t="s">
        <v>1088</v>
      </c>
      <c r="C7" s="3208"/>
      <c r="D7" s="1305"/>
      <c r="E7" s="1303"/>
      <c r="F7" s="1306"/>
      <c r="G7" s="1306"/>
      <c r="H7" s="1307"/>
      <c r="I7" s="1308">
        <f t="shared" si="0"/>
        <v>0</v>
      </c>
    </row>
    <row r="8" spans="1:9">
      <c r="A8" s="3207"/>
      <c r="B8" s="3208" t="s">
        <v>1089</v>
      </c>
      <c r="C8" s="3208"/>
      <c r="D8" s="1305"/>
      <c r="E8" s="1303"/>
      <c r="F8" s="1306"/>
      <c r="G8" s="1306"/>
      <c r="H8" s="1307"/>
      <c r="I8" s="1308">
        <f t="shared" si="0"/>
        <v>0</v>
      </c>
    </row>
    <row r="9" spans="1:9">
      <c r="A9" s="3207"/>
      <c r="B9" s="3208" t="s">
        <v>1090</v>
      </c>
      <c r="C9" s="3208"/>
      <c r="D9" s="1305"/>
      <c r="E9" s="1303"/>
      <c r="F9" s="1306"/>
      <c r="G9" s="1306"/>
      <c r="H9" s="1307"/>
      <c r="I9" s="1308">
        <f t="shared" si="0"/>
        <v>0</v>
      </c>
    </row>
    <row r="10" spans="1:9">
      <c r="A10" s="3207"/>
      <c r="B10" s="3209" t="s">
        <v>1091</v>
      </c>
      <c r="C10" s="3209"/>
      <c r="D10" s="1309"/>
      <c r="E10" s="1309" t="e">
        <f>ROUND(D1*10000/D10/H9,0)</f>
        <v>#DIV/0!</v>
      </c>
      <c r="F10" s="1310"/>
      <c r="G10" s="1310"/>
      <c r="H10" s="1311"/>
      <c r="I10" s="1312">
        <f>SUM(I3:I9)</f>
        <v>0</v>
      </c>
    </row>
    <row r="11" spans="1:9" ht="14.25">
      <c r="A11" s="3207" t="s">
        <v>1092</v>
      </c>
      <c r="B11" s="3208" t="s">
        <v>1093</v>
      </c>
      <c r="C11" s="3208"/>
      <c r="D11" s="1305" t="s">
        <v>1094</v>
      </c>
      <c r="E11" s="1305" t="s">
        <v>1095</v>
      </c>
      <c r="F11" s="1306" t="s">
        <v>1096</v>
      </c>
      <c r="G11" s="1306" t="s">
        <v>1082</v>
      </c>
      <c r="H11" s="1313" t="s">
        <v>1097</v>
      </c>
      <c r="I11" s="1304" t="s">
        <v>1083</v>
      </c>
    </row>
    <row r="12" spans="1:9">
      <c r="A12" s="3207"/>
      <c r="B12" s="3208" t="s">
        <v>1098</v>
      </c>
      <c r="C12" s="3208"/>
      <c r="D12" s="1305"/>
      <c r="E12" s="1305"/>
      <c r="F12" s="1306"/>
      <c r="G12" s="1307"/>
      <c r="H12" s="1314"/>
      <c r="I12" s="1304">
        <f>ROUND(D12*E12*F12*G12/10000,0)</f>
        <v>0</v>
      </c>
    </row>
    <row r="13" spans="1:9">
      <c r="A13" s="3207"/>
      <c r="B13" s="3208" t="s">
        <v>1099</v>
      </c>
      <c r="C13" s="3208"/>
      <c r="D13" s="1305"/>
      <c r="E13" s="1305"/>
      <c r="F13" s="1306"/>
      <c r="G13" s="1307"/>
      <c r="H13" s="1314"/>
      <c r="I13" s="1304">
        <f>ROUND(D13*E13*F13*G13/10000,0)</f>
        <v>0</v>
      </c>
    </row>
    <row r="14" spans="1:9">
      <c r="A14" s="3207"/>
      <c r="B14" s="3208" t="s">
        <v>1100</v>
      </c>
      <c r="C14" s="3208"/>
      <c r="D14" s="1305"/>
      <c r="E14" s="1305"/>
      <c r="F14" s="1306"/>
      <c r="G14" s="1307"/>
      <c r="H14" s="1314"/>
      <c r="I14" s="1304">
        <f>ROUND(D14*E14*F14*G14/10000,0)</f>
        <v>0</v>
      </c>
    </row>
    <row r="15" spans="1:9">
      <c r="A15" s="3207"/>
      <c r="B15" s="3209" t="s">
        <v>1091</v>
      </c>
      <c r="C15" s="3209"/>
      <c r="D15" s="1309"/>
      <c r="E15" s="1309">
        <f>SUM(E12:E14)</f>
        <v>0</v>
      </c>
      <c r="F15" s="1310"/>
      <c r="G15" s="1307"/>
      <c r="H15" s="1314"/>
      <c r="I15" s="1315">
        <f>SUM(I12:I14)</f>
        <v>0</v>
      </c>
    </row>
    <row r="16" spans="1:9" ht="24">
      <c r="A16" s="3207" t="s">
        <v>1101</v>
      </c>
      <c r="B16" s="3208" t="s">
        <v>1102</v>
      </c>
      <c r="C16" s="3208"/>
      <c r="D16" s="1305" t="s">
        <v>1078</v>
      </c>
      <c r="E16" s="1316" t="s">
        <v>1103</v>
      </c>
      <c r="F16" s="1306" t="s">
        <v>1104</v>
      </c>
      <c r="G16" s="1307" t="s">
        <v>1082</v>
      </c>
      <c r="H16" s="1313" t="s">
        <v>1097</v>
      </c>
      <c r="I16" s="1304" t="s">
        <v>1083</v>
      </c>
    </row>
    <row r="17" spans="1:9" ht="14.25">
      <c r="A17" s="3207"/>
      <c r="B17" s="3208" t="s">
        <v>1105</v>
      </c>
      <c r="C17" s="3208"/>
      <c r="D17" s="1305"/>
      <c r="E17" s="1305"/>
      <c r="F17" s="1306"/>
      <c r="G17" s="1307"/>
      <c r="H17" s="1317"/>
      <c r="I17" s="1318">
        <f>ROUND(D17*E17*F17*G17/10000,0)</f>
        <v>0</v>
      </c>
    </row>
    <row r="18" spans="1:9" ht="14.25">
      <c r="A18" s="3207"/>
      <c r="B18" s="3208" t="s">
        <v>1106</v>
      </c>
      <c r="C18" s="3208"/>
      <c r="D18" s="1305"/>
      <c r="E18" s="1305"/>
      <c r="F18" s="1306"/>
      <c r="G18" s="1307"/>
      <c r="H18" s="1317"/>
      <c r="I18" s="1318">
        <f>ROUND(D18*E18*F18*G18/10000,0)</f>
        <v>0</v>
      </c>
    </row>
    <row r="19" spans="1:9" ht="14.25">
      <c r="A19" s="3207"/>
      <c r="B19" s="3208" t="s">
        <v>1107</v>
      </c>
      <c r="C19" s="3208"/>
      <c r="D19" s="1305"/>
      <c r="E19" s="1305"/>
      <c r="F19" s="1306"/>
      <c r="G19" s="1307"/>
      <c r="H19" s="1317"/>
      <c r="I19" s="1318">
        <f>ROUND(D19*E19*F19*G19/10000,0)</f>
        <v>0</v>
      </c>
    </row>
    <row r="20" spans="1:9">
      <c r="A20" s="3207"/>
      <c r="B20" s="3209" t="s">
        <v>1091</v>
      </c>
      <c r="C20" s="3209"/>
      <c r="D20" s="1309">
        <f>SUM(D17:D19)</f>
        <v>0</v>
      </c>
      <c r="E20" s="1309"/>
      <c r="F20" s="1310"/>
      <c r="G20" s="1307"/>
      <c r="H20" s="1314"/>
      <c r="I20" s="1315">
        <f>SUM(I17:I19)</f>
        <v>0</v>
      </c>
    </row>
    <row r="21" spans="1:9">
      <c r="A21" s="3207" t="s">
        <v>1108</v>
      </c>
      <c r="B21" s="3211"/>
      <c r="C21" s="3211"/>
      <c r="D21" s="3211"/>
      <c r="E21" s="3211"/>
      <c r="F21" s="3211"/>
      <c r="G21" s="3211"/>
      <c r="H21" s="1767">
        <v>0.1</v>
      </c>
      <c r="I21" s="1312">
        <f>ROUND(I10*H21,0)</f>
        <v>0</v>
      </c>
    </row>
    <row r="22" spans="1:9" ht="14.25">
      <c r="A22" s="3212" t="s">
        <v>1109</v>
      </c>
      <c r="B22" s="3213"/>
      <c r="C22" s="3214"/>
      <c r="D22" s="1319" t="s">
        <v>1110</v>
      </c>
      <c r="E22" s="1319" t="s">
        <v>1111</v>
      </c>
      <c r="F22" s="1320" t="s">
        <v>1112</v>
      </c>
      <c r="G22" s="1320" t="s">
        <v>1113</v>
      </c>
      <c r="H22" s="1313" t="s">
        <v>1114</v>
      </c>
      <c r="I22" s="1304" t="s">
        <v>1115</v>
      </c>
    </row>
    <row r="23" spans="1:9" ht="14.25" thickBot="1">
      <c r="A23" s="3215"/>
      <c r="B23" s="3216"/>
      <c r="C23" s="3217"/>
      <c r="D23" s="1321"/>
      <c r="E23" s="1321"/>
      <c r="F23" s="1321"/>
      <c r="G23" s="1322"/>
      <c r="H23" s="1323"/>
      <c r="I23" s="1324">
        <f>ROUND(E23*D23*F23*(1-G23)/10000,0)</f>
        <v>0</v>
      </c>
    </row>
    <row r="26" spans="1:9">
      <c r="A26" s="1325" t="s">
        <v>1116</v>
      </c>
      <c r="B26" s="1325"/>
      <c r="C26" s="1325"/>
      <c r="D26" s="1325"/>
      <c r="E26" s="3218">
        <f>C27-C30-C31-C32</f>
        <v>0</v>
      </c>
      <c r="F26" s="3218"/>
      <c r="G26" s="3218"/>
      <c r="H26" s="1739" t="s">
        <v>1339</v>
      </c>
    </row>
    <row r="27" spans="1:9">
      <c r="A27" s="1326">
        <v>1</v>
      </c>
      <c r="B27" s="1327" t="s">
        <v>1117</v>
      </c>
      <c r="C27" s="1327">
        <f>C28+C29</f>
        <v>0</v>
      </c>
      <c r="D27" s="1327"/>
      <c r="E27" s="3219"/>
      <c r="F27" s="3219"/>
      <c r="G27" s="3219"/>
    </row>
    <row r="28" spans="1:9">
      <c r="A28" s="1328" t="s">
        <v>1118</v>
      </c>
      <c r="B28" s="1327" t="s">
        <v>1119</v>
      </c>
      <c r="C28" s="1327"/>
      <c r="D28" s="1327"/>
      <c r="E28" s="3219"/>
      <c r="F28" s="3219"/>
      <c r="G28" s="3219"/>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10"/>
      <c r="F32" s="3210"/>
      <c r="G32" s="3210"/>
    </row>
    <row r="33" spans="1:7" hidden="1">
      <c r="A33" s="3220" t="s">
        <v>1128</v>
      </c>
      <c r="B33" s="3221"/>
      <c r="C33" s="3221"/>
      <c r="D33" s="3222"/>
      <c r="E33" s="3218"/>
      <c r="F33" s="3218"/>
      <c r="G33" s="3218"/>
    </row>
    <row r="34" spans="1:7" hidden="1">
      <c r="A34" s="1330">
        <v>1</v>
      </c>
      <c r="B34" s="1327" t="s">
        <v>1129</v>
      </c>
      <c r="C34" s="1327"/>
      <c r="D34" s="1327"/>
      <c r="E34" s="3219"/>
      <c r="F34" s="3219"/>
      <c r="G34" s="3219"/>
    </row>
    <row r="35" spans="1:7" hidden="1">
      <c r="A35" s="1330">
        <v>2</v>
      </c>
      <c r="B35" s="1327" t="s">
        <v>1130</v>
      </c>
      <c r="C35" s="1327"/>
      <c r="D35" s="1327"/>
      <c r="E35" s="3219"/>
      <c r="F35" s="3219"/>
      <c r="G35" s="3219"/>
    </row>
    <row r="36" spans="1:7" hidden="1">
      <c r="A36" s="1330">
        <v>3</v>
      </c>
      <c r="B36" s="1327" t="s">
        <v>1131</v>
      </c>
      <c r="C36" s="1327"/>
      <c r="D36" s="1327"/>
      <c r="E36" s="3219"/>
      <c r="F36" s="3219"/>
      <c r="G36" s="3219"/>
    </row>
    <row r="37" spans="1:7" hidden="1">
      <c r="A37" s="1330">
        <v>4</v>
      </c>
      <c r="B37" s="1327" t="s">
        <v>1132</v>
      </c>
      <c r="C37" s="1327"/>
      <c r="D37" s="1327"/>
      <c r="E37" s="3219"/>
      <c r="F37" s="3219"/>
      <c r="G37" s="3219"/>
    </row>
    <row r="38" spans="1:7" hidden="1">
      <c r="A38" s="3220" t="s">
        <v>1133</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2" t="s">
        <v>2485</v>
      </c>
      <c r="C1" s="1636" t="s">
        <v>2486</v>
      </c>
      <c r="D1" s="1623"/>
      <c r="E1" s="2583"/>
      <c r="F1" s="2584" t="s">
        <v>2487</v>
      </c>
      <c r="G1" s="1633" t="s">
        <v>2488</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1393</v>
      </c>
      <c r="B2" s="1420" t="e">
        <f ca="1">IF(C2="——",ROUND(C49*D3/10000,0),ROUND(C49*D3/10000,0)-D2)</f>
        <v>#DIV/0!</v>
      </c>
      <c r="C2" s="2586"/>
      <c r="D2" s="1367" t="e">
        <f ca="1">SUMIF(INDIRECT("'"&amp;F2&amp;"'"&amp;"!A:A"),"承租人权益价值",INDIRECT("'"&amp;F2&amp;"'"&amp;"!c:c"))</f>
        <v>#REF!</v>
      </c>
      <c r="E2" s="2587" t="s">
        <v>2489</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1394</v>
      </c>
      <c r="B3" s="399" t="e">
        <f ca="1">IF(C2="——",C49,ROUND(B2*10000/D3,0))</f>
        <v>#DIV/0!</v>
      </c>
      <c r="C3" s="400" t="s">
        <v>2490</v>
      </c>
      <c r="D3" s="399">
        <f>IF(D1="",'数据-汇总表'!E3,SUMIF('数据-汇总表'!$C19:$C33,D1,'数据-汇总表'!$E19:$E33))</f>
        <v>45029.380000000005</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2491</v>
      </c>
      <c r="B4" s="402"/>
      <c r="C4" s="3162" t="s">
        <v>2492</v>
      </c>
      <c r="D4" s="3163"/>
      <c r="E4" s="3164" t="s">
        <v>2493</v>
      </c>
      <c r="F4" s="3165"/>
      <c r="G4" s="3162" t="s">
        <v>2494</v>
      </c>
      <c r="H4" s="3163"/>
      <c r="I4" s="3162" t="s">
        <v>2495</v>
      </c>
      <c r="J4" s="3163"/>
      <c r="K4" s="2596" t="s">
        <v>2496</v>
      </c>
      <c r="L4" s="1132"/>
      <c r="M4" s="1133"/>
      <c r="N4" s="1133"/>
      <c r="O4" s="1133"/>
      <c r="P4" s="3166" t="s">
        <v>2497</v>
      </c>
      <c r="Q4" s="3167"/>
      <c r="R4" s="3179" t="s">
        <v>2493</v>
      </c>
      <c r="S4" s="3180"/>
      <c r="T4" s="3179" t="s">
        <v>2494</v>
      </c>
      <c r="U4" s="3180"/>
      <c r="V4" s="3154" t="s">
        <v>2495</v>
      </c>
      <c r="W4" s="3154"/>
      <c r="X4" s="1815"/>
      <c r="Y4" s="3179" t="s">
        <v>2497</v>
      </c>
      <c r="Z4" s="3180"/>
      <c r="AA4" s="3159" t="s">
        <v>2493</v>
      </c>
      <c r="AB4" s="3159" t="s">
        <v>2494</v>
      </c>
      <c r="AC4" s="3159" t="s">
        <v>2495</v>
      </c>
    </row>
    <row r="5" spans="1:29" ht="15">
      <c r="A5" s="404"/>
      <c r="B5" s="405"/>
      <c r="C5" s="3183" t="s">
        <v>2498</v>
      </c>
      <c r="D5" s="3184"/>
      <c r="E5" s="3172" t="s">
        <v>2499</v>
      </c>
      <c r="F5" s="3173"/>
      <c r="G5" s="3183" t="s">
        <v>2500</v>
      </c>
      <c r="H5" s="3184"/>
      <c r="I5" s="3183" t="s">
        <v>2501</v>
      </c>
      <c r="J5" s="3184"/>
      <c r="K5" s="2597"/>
      <c r="L5" s="1132"/>
      <c r="M5" s="1133"/>
      <c r="N5" s="1133"/>
      <c r="O5" s="1133"/>
      <c r="P5" s="3168"/>
      <c r="Q5" s="3169"/>
      <c r="R5" s="3181"/>
      <c r="S5" s="3182"/>
      <c r="T5" s="3181"/>
      <c r="U5" s="3182"/>
      <c r="V5" s="3154"/>
      <c r="W5" s="3154"/>
      <c r="X5" s="1815"/>
      <c r="Y5" s="3181"/>
      <c r="Z5" s="3182"/>
      <c r="AA5" s="3160"/>
      <c r="AB5" s="3160"/>
      <c r="AC5" s="3160"/>
    </row>
    <row r="6" spans="1:29" ht="15.75" thickBot="1">
      <c r="A6" s="406"/>
      <c r="B6" s="407"/>
      <c r="C6" s="3223" t="s">
        <v>2502</v>
      </c>
      <c r="D6" s="3224"/>
      <c r="E6" s="3225" t="s">
        <v>2502</v>
      </c>
      <c r="F6" s="3226"/>
      <c r="G6" s="3223" t="s">
        <v>2502</v>
      </c>
      <c r="H6" s="3224"/>
      <c r="I6" s="3223" t="s">
        <v>2502</v>
      </c>
      <c r="J6" s="3224"/>
      <c r="K6" s="2597" t="s">
        <v>2503</v>
      </c>
      <c r="L6" s="1132"/>
      <c r="M6" s="1133"/>
      <c r="N6" s="1133"/>
      <c r="O6" s="1133"/>
      <c r="P6" s="3170"/>
      <c r="Q6" s="3171"/>
      <c r="R6" s="3181"/>
      <c r="S6" s="3182"/>
      <c r="T6" s="3191"/>
      <c r="U6" s="3192"/>
      <c r="V6" s="3154"/>
      <c r="W6" s="3154"/>
      <c r="X6" s="1815"/>
      <c r="Y6" s="3191"/>
      <c r="Z6" s="3192"/>
      <c r="AA6" s="3161"/>
      <c r="AB6" s="3161"/>
      <c r="AC6" s="3161"/>
    </row>
    <row r="7" spans="1:29" s="117" customFormat="1" ht="15.75" thickBot="1">
      <c r="A7" s="408" t="s">
        <v>2504</v>
      </c>
      <c r="B7" s="409"/>
      <c r="C7" s="410">
        <f>'数据-取费表'!B2</f>
        <v>43245</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74" t="s">
        <v>2505</v>
      </c>
      <c r="Q7" s="3187"/>
      <c r="R7" s="770" t="s">
        <v>22</v>
      </c>
      <c r="S7" s="771">
        <f t="shared" ref="S7:S15" si="0">F7</f>
        <v>0</v>
      </c>
      <c r="T7" s="770" t="s">
        <v>22</v>
      </c>
      <c r="U7" s="771">
        <f t="shared" ref="U7:U15" si="1">H7</f>
        <v>0</v>
      </c>
      <c r="V7" s="770" t="s">
        <v>22</v>
      </c>
      <c r="W7" s="771">
        <f t="shared" ref="W7:W15" si="2">J7</f>
        <v>0</v>
      </c>
      <c r="X7" s="772"/>
      <c r="Y7" s="3174" t="s">
        <v>2505</v>
      </c>
      <c r="Z7" s="3175"/>
      <c r="AA7" s="773" t="e">
        <f>D7/F7</f>
        <v>#DIV/0!</v>
      </c>
      <c r="AB7" s="773" t="e">
        <f>D7/H7</f>
        <v>#DIV/0!</v>
      </c>
      <c r="AC7" s="773" t="e">
        <f>D7/J7</f>
        <v>#DIV/0!</v>
      </c>
    </row>
    <row r="8" spans="1:29" s="117" customFormat="1" ht="15.75" thickBot="1">
      <c r="A8" s="408" t="s">
        <v>2506</v>
      </c>
      <c r="B8" s="409"/>
      <c r="C8" s="414" t="s">
        <v>2507</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74" t="s">
        <v>2508</v>
      </c>
      <c r="Q8" s="3175"/>
      <c r="R8" s="770" t="s">
        <v>22</v>
      </c>
      <c r="S8" s="771">
        <f t="shared" si="0"/>
        <v>0</v>
      </c>
      <c r="T8" s="770" t="s">
        <v>22</v>
      </c>
      <c r="U8" s="771">
        <f t="shared" si="1"/>
        <v>0</v>
      </c>
      <c r="V8" s="770" t="s">
        <v>22</v>
      </c>
      <c r="W8" s="771">
        <f t="shared" si="2"/>
        <v>0</v>
      </c>
      <c r="X8" s="772"/>
      <c r="Y8" s="3174" t="s">
        <v>2508</v>
      </c>
      <c r="Z8" s="3175"/>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77"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7"/>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7"/>
      <c r="Q11" s="1797"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77"/>
      <c r="Q12" s="1797">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77"/>
      <c r="Q13" s="1797">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77"/>
      <c r="Q14" s="1797">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2515</v>
      </c>
      <c r="B15" s="69" t="s">
        <v>2046</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3" t="s">
        <v>2516</v>
      </c>
      <c r="Q15" s="1812" t="str">
        <f t="shared" si="6"/>
        <v>居住社区成熟度</v>
      </c>
      <c r="R15" s="774" t="s">
        <v>21</v>
      </c>
      <c r="S15" s="775">
        <f t="shared" si="0"/>
        <v>100</v>
      </c>
      <c r="T15" s="774" t="s">
        <v>21</v>
      </c>
      <c r="U15" s="775">
        <f t="shared" si="1"/>
        <v>100</v>
      </c>
      <c r="V15" s="774" t="s">
        <v>21</v>
      </c>
      <c r="W15" s="775">
        <f t="shared" si="2"/>
        <v>100</v>
      </c>
      <c r="X15" s="1815"/>
      <c r="Y15" s="3155" t="s">
        <v>2516</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34"/>
      <c r="Q16" s="1812"/>
      <c r="R16" s="774"/>
      <c r="S16" s="775"/>
      <c r="T16" s="774"/>
      <c r="U16" s="775"/>
      <c r="V16" s="774"/>
      <c r="W16" s="775"/>
      <c r="X16" s="1815"/>
      <c r="Y16" s="3156"/>
      <c r="Z16" s="1816"/>
      <c r="AA16" s="1813">
        <v>1</v>
      </c>
      <c r="AB16" s="1813">
        <v>1</v>
      </c>
      <c r="AC16" s="1813">
        <v>1</v>
      </c>
    </row>
    <row r="17" spans="1:29" ht="85.5">
      <c r="A17" s="428"/>
      <c r="B17" s="451" t="s">
        <v>2057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4"/>
      <c r="Q17" s="1812" t="str">
        <f>B17</f>
        <v>交通便捷度</v>
      </c>
      <c r="R17" s="774" t="s">
        <v>21</v>
      </c>
      <c r="S17" s="775">
        <f>F17</f>
        <v>100</v>
      </c>
      <c r="T17" s="774" t="s">
        <v>21</v>
      </c>
      <c r="U17" s="775">
        <f>H17</f>
        <v>100</v>
      </c>
      <c r="V17" s="774" t="s">
        <v>21</v>
      </c>
      <c r="W17" s="775">
        <f>J17</f>
        <v>100</v>
      </c>
      <c r="X17" s="1815"/>
      <c r="Y17" s="3156"/>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34"/>
      <c r="Q18" s="1812"/>
      <c r="R18" s="774"/>
      <c r="S18" s="775"/>
      <c r="T18" s="774"/>
      <c r="U18" s="775"/>
      <c r="V18" s="774"/>
      <c r="W18" s="775"/>
      <c r="X18" s="1815"/>
      <c r="Y18" s="3156"/>
      <c r="Z18" s="1816"/>
      <c r="AA18" s="1813">
        <v>1</v>
      </c>
      <c r="AB18" s="1813">
        <v>1</v>
      </c>
      <c r="AC18" s="1813">
        <v>1</v>
      </c>
    </row>
    <row r="19" spans="1:29" ht="42.75">
      <c r="A19" s="428"/>
      <c r="B19" s="451" t="s">
        <v>2055</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4"/>
      <c r="Q19" s="1812" t="str">
        <f>B19</f>
        <v>公共配套设施</v>
      </c>
      <c r="R19" s="774" t="s">
        <v>21</v>
      </c>
      <c r="S19" s="775">
        <f>F19</f>
        <v>100</v>
      </c>
      <c r="T19" s="774" t="s">
        <v>21</v>
      </c>
      <c r="U19" s="775">
        <f>H19</f>
        <v>100</v>
      </c>
      <c r="V19" s="774" t="s">
        <v>21</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34"/>
      <c r="Q20" s="1812"/>
      <c r="R20" s="774"/>
      <c r="S20" s="775"/>
      <c r="T20" s="774"/>
      <c r="U20" s="775"/>
      <c r="V20" s="774"/>
      <c r="W20" s="775"/>
      <c r="X20" s="1815"/>
      <c r="Y20" s="3156"/>
      <c r="Z20" s="1816"/>
      <c r="AA20" s="1813">
        <v>1</v>
      </c>
      <c r="AB20" s="1813">
        <v>1</v>
      </c>
      <c r="AC20" s="1813">
        <v>1</v>
      </c>
    </row>
    <row r="21" spans="1:29" ht="28.5">
      <c r="A21" s="428"/>
      <c r="B21" s="1386" t="s">
        <v>2058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4"/>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34"/>
      <c r="Q22" s="1812"/>
      <c r="R22" s="774"/>
      <c r="S22" s="775"/>
      <c r="T22" s="774"/>
      <c r="U22" s="775"/>
      <c r="V22" s="774"/>
      <c r="W22" s="775"/>
      <c r="X22" s="1815"/>
      <c r="Y22" s="3156"/>
      <c r="Z22" s="1816"/>
      <c r="AA22" s="1813">
        <v>1</v>
      </c>
      <c r="AB22" s="1813">
        <v>1</v>
      </c>
      <c r="AC22" s="1813">
        <v>1</v>
      </c>
    </row>
    <row r="23" spans="1:29" ht="57">
      <c r="A23" s="428"/>
      <c r="B23" s="451" t="s">
        <v>2061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4"/>
      <c r="Q23" s="1812" t="str">
        <f>B23</f>
        <v>自然及人文环境</v>
      </c>
      <c r="R23" s="774" t="s">
        <v>21</v>
      </c>
      <c r="S23" s="775">
        <f>F23</f>
        <v>100</v>
      </c>
      <c r="T23" s="774" t="s">
        <v>21</v>
      </c>
      <c r="U23" s="775">
        <f>H23</f>
        <v>100</v>
      </c>
      <c r="V23" s="774" t="s">
        <v>21</v>
      </c>
      <c r="W23" s="775">
        <f>J23</f>
        <v>100</v>
      </c>
      <c r="X23" s="1815"/>
      <c r="Y23" s="3156"/>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34"/>
      <c r="Q24" s="1812"/>
      <c r="R24" s="774"/>
      <c r="S24" s="775"/>
      <c r="T24" s="774"/>
      <c r="U24" s="775"/>
      <c r="V24" s="774"/>
      <c r="W24" s="775"/>
      <c r="X24" s="1815"/>
      <c r="Y24" s="3156"/>
      <c r="Z24" s="1816"/>
      <c r="AA24" s="1813">
        <v>1</v>
      </c>
      <c r="AB24" s="1813">
        <v>1</v>
      </c>
      <c r="AC24" s="1813">
        <v>1</v>
      </c>
    </row>
    <row r="25" spans="1:29" ht="15">
      <c r="A25" s="428"/>
      <c r="B25" s="422" t="s">
        <v>2517</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3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56"/>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34"/>
      <c r="Q26" s="1812" t="str">
        <f t="shared" si="11"/>
        <v>朝向</v>
      </c>
      <c r="R26" s="774" t="s">
        <v>21</v>
      </c>
      <c r="S26" s="775">
        <f t="shared" si="12"/>
        <v>100</v>
      </c>
      <c r="T26" s="774" t="s">
        <v>21</v>
      </c>
      <c r="U26" s="775">
        <f t="shared" si="13"/>
        <v>100</v>
      </c>
      <c r="V26" s="774" t="s">
        <v>21</v>
      </c>
      <c r="W26" s="775">
        <f t="shared" si="14"/>
        <v>100</v>
      </c>
      <c r="X26" s="1815"/>
      <c r="Y26" s="315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34"/>
      <c r="Q27" s="1797">
        <f t="shared" si="11"/>
        <v>111</v>
      </c>
      <c r="R27" s="770" t="s">
        <v>21</v>
      </c>
      <c r="S27" s="771">
        <f t="shared" si="12"/>
        <v>100</v>
      </c>
      <c r="T27" s="770" t="s">
        <v>21</v>
      </c>
      <c r="U27" s="771">
        <f t="shared" si="13"/>
        <v>100</v>
      </c>
      <c r="V27" s="770" t="s">
        <v>21</v>
      </c>
      <c r="W27" s="771">
        <f t="shared" si="14"/>
        <v>100</v>
      </c>
      <c r="X27" s="772"/>
      <c r="Y27" s="315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34"/>
      <c r="Q28" s="1812">
        <f t="shared" si="11"/>
        <v>111</v>
      </c>
      <c r="R28" s="774" t="s">
        <v>21</v>
      </c>
      <c r="S28" s="775">
        <f t="shared" si="12"/>
        <v>100</v>
      </c>
      <c r="T28" s="774" t="s">
        <v>21</v>
      </c>
      <c r="U28" s="775">
        <f t="shared" si="13"/>
        <v>100</v>
      </c>
      <c r="V28" s="774" t="s">
        <v>21</v>
      </c>
      <c r="W28" s="775">
        <f t="shared" si="14"/>
        <v>100</v>
      </c>
      <c r="X28" s="1815"/>
      <c r="Y28" s="315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34"/>
      <c r="Q29" s="1812">
        <f t="shared" si="11"/>
        <v>111</v>
      </c>
      <c r="R29" s="774" t="s">
        <v>21</v>
      </c>
      <c r="S29" s="775">
        <f t="shared" si="12"/>
        <v>100</v>
      </c>
      <c r="T29" s="774" t="s">
        <v>21</v>
      </c>
      <c r="U29" s="775">
        <f t="shared" si="13"/>
        <v>100</v>
      </c>
      <c r="V29" s="774" t="s">
        <v>21</v>
      </c>
      <c r="W29" s="775">
        <f t="shared" si="14"/>
        <v>100</v>
      </c>
      <c r="X29" s="1815"/>
      <c r="Y29" s="315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34"/>
      <c r="Q30" s="1812">
        <f t="shared" si="11"/>
        <v>111</v>
      </c>
      <c r="R30" s="774" t="s">
        <v>21</v>
      </c>
      <c r="S30" s="775">
        <f t="shared" si="12"/>
        <v>100</v>
      </c>
      <c r="T30" s="774" t="s">
        <v>21</v>
      </c>
      <c r="U30" s="775">
        <f t="shared" si="13"/>
        <v>100</v>
      </c>
      <c r="V30" s="774" t="s">
        <v>21</v>
      </c>
      <c r="W30" s="775">
        <f t="shared" si="14"/>
        <v>100</v>
      </c>
      <c r="X30" s="1815"/>
      <c r="Y30" s="315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34"/>
      <c r="Q31" s="1812">
        <f t="shared" si="11"/>
        <v>111</v>
      </c>
      <c r="R31" s="774" t="s">
        <v>21</v>
      </c>
      <c r="S31" s="775">
        <f t="shared" si="12"/>
        <v>100</v>
      </c>
      <c r="T31" s="774" t="s">
        <v>21</v>
      </c>
      <c r="U31" s="775">
        <f t="shared" si="13"/>
        <v>100</v>
      </c>
      <c r="V31" s="774" t="s">
        <v>21</v>
      </c>
      <c r="W31" s="775">
        <f t="shared" si="14"/>
        <v>100</v>
      </c>
      <c r="X31" s="1815"/>
      <c r="Y31" s="3156"/>
      <c r="Z31" s="1816">
        <f t="shared" si="18"/>
        <v>111</v>
      </c>
      <c r="AA31" s="1813">
        <f t="shared" si="15"/>
        <v>1</v>
      </c>
      <c r="AB31" s="1813">
        <f t="shared" si="16"/>
        <v>1</v>
      </c>
      <c r="AC31" s="1813">
        <f t="shared" si="17"/>
        <v>1</v>
      </c>
    </row>
    <row r="32" spans="1:29" ht="15">
      <c r="A32" s="440" t="s">
        <v>2519</v>
      </c>
      <c r="B32" s="71" t="s">
        <v>2520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29" t="s">
        <v>2521</v>
      </c>
      <c r="Q32" s="1812" t="str">
        <f t="shared" si="11"/>
        <v>建筑类型</v>
      </c>
      <c r="R32" s="774" t="s">
        <v>21</v>
      </c>
      <c r="S32" s="775">
        <f t="shared" si="12"/>
        <v>100</v>
      </c>
      <c r="T32" s="774" t="s">
        <v>21</v>
      </c>
      <c r="U32" s="775">
        <f t="shared" si="13"/>
        <v>100</v>
      </c>
      <c r="V32" s="774" t="s">
        <v>21</v>
      </c>
      <c r="W32" s="775">
        <f t="shared" si="14"/>
        <v>100</v>
      </c>
      <c r="X32" s="1815"/>
      <c r="Y32" s="3158"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30"/>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1813" t="e">
        <f t="shared" si="15"/>
        <v>#N/A</v>
      </c>
      <c r="AB33" s="1813" t="e">
        <f t="shared" si="16"/>
        <v>#N/A</v>
      </c>
      <c r="AC33" s="1813" t="e">
        <f t="shared" si="17"/>
        <v>#N/A</v>
      </c>
    </row>
    <row r="34" spans="1:29" ht="15">
      <c r="A34" s="472"/>
      <c r="B34" s="422" t="s">
        <v>2523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30"/>
      <c r="Q34" s="1812" t="str">
        <f t="shared" si="11"/>
        <v>建筑结构</v>
      </c>
      <c r="R34" s="774" t="s">
        <v>21</v>
      </c>
      <c r="S34" s="775">
        <f t="shared" si="12"/>
        <v>100</v>
      </c>
      <c r="T34" s="774" t="s">
        <v>21</v>
      </c>
      <c r="U34" s="775">
        <f t="shared" si="13"/>
        <v>100</v>
      </c>
      <c r="V34" s="774" t="s">
        <v>21</v>
      </c>
      <c r="W34" s="775">
        <f t="shared" si="14"/>
        <v>100</v>
      </c>
      <c r="X34" s="1815"/>
      <c r="Y34" s="3158"/>
      <c r="Z34" s="1816" t="str">
        <f t="shared" si="18"/>
        <v>建筑结构</v>
      </c>
      <c r="AA34" s="1813">
        <f t="shared" si="15"/>
        <v>1</v>
      </c>
      <c r="AB34" s="1813">
        <f t="shared" si="16"/>
        <v>1</v>
      </c>
      <c r="AC34" s="1813">
        <f t="shared" si="17"/>
        <v>1</v>
      </c>
    </row>
    <row r="35" spans="1:29" ht="15">
      <c r="A35" s="472"/>
      <c r="B35" s="422" t="s">
        <v>2524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30"/>
      <c r="Q35" s="1812" t="str">
        <f t="shared" si="11"/>
        <v>建筑品质</v>
      </c>
      <c r="R35" s="774" t="s">
        <v>21</v>
      </c>
      <c r="S35" s="775">
        <f t="shared" si="12"/>
        <v>100</v>
      </c>
      <c r="T35" s="774" t="s">
        <v>21</v>
      </c>
      <c r="U35" s="775">
        <f t="shared" si="13"/>
        <v>100</v>
      </c>
      <c r="V35" s="774" t="s">
        <v>21</v>
      </c>
      <c r="W35" s="775">
        <f t="shared" si="14"/>
        <v>100</v>
      </c>
      <c r="X35" s="1815"/>
      <c r="Y35" s="3158"/>
      <c r="Z35" s="1816" t="str">
        <f t="shared" si="18"/>
        <v>建筑品质</v>
      </c>
      <c r="AA35" s="1813">
        <f t="shared" si="15"/>
        <v>1</v>
      </c>
      <c r="AB35" s="1813">
        <f t="shared" si="16"/>
        <v>1</v>
      </c>
      <c r="AC35" s="1813">
        <f t="shared" si="17"/>
        <v>1</v>
      </c>
    </row>
    <row r="36" spans="1:29" ht="15">
      <c r="A36" s="472"/>
      <c r="B36" s="422" t="s">
        <v>2525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30"/>
      <c r="Q36" s="1812" t="str">
        <f t="shared" si="11"/>
        <v>公共部分装修</v>
      </c>
      <c r="R36" s="774" t="s">
        <v>21</v>
      </c>
      <c r="S36" s="775">
        <f t="shared" si="12"/>
        <v>100</v>
      </c>
      <c r="T36" s="774" t="s">
        <v>21</v>
      </c>
      <c r="U36" s="775">
        <f t="shared" si="13"/>
        <v>100</v>
      </c>
      <c r="V36" s="774" t="s">
        <v>21</v>
      </c>
      <c r="W36" s="775">
        <f t="shared" si="14"/>
        <v>100</v>
      </c>
      <c r="X36" s="1815"/>
      <c r="Y36" s="3158"/>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7"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2527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30" t="s">
        <v>2521</v>
      </c>
      <c r="Q38" s="1812" t="str">
        <f t="shared" si="11"/>
        <v>物业管理</v>
      </c>
      <c r="R38" s="774" t="s">
        <v>21</v>
      </c>
      <c r="S38" s="775">
        <f t="shared" si="12"/>
        <v>100</v>
      </c>
      <c r="T38" s="774" t="s">
        <v>21</v>
      </c>
      <c r="U38" s="775">
        <f t="shared" si="13"/>
        <v>100</v>
      </c>
      <c r="V38" s="774" t="s">
        <v>21</v>
      </c>
      <c r="W38" s="775">
        <f t="shared" si="14"/>
        <v>100</v>
      </c>
      <c r="X38" s="1815"/>
      <c r="Y38" s="3158" t="s">
        <v>2521</v>
      </c>
      <c r="Z38" s="1816" t="str">
        <f t="shared" si="18"/>
        <v>物业管理</v>
      </c>
      <c r="AA38" s="1813">
        <f t="shared" si="15"/>
        <v>1</v>
      </c>
      <c r="AB38" s="1813">
        <f t="shared" si="16"/>
        <v>1</v>
      </c>
      <c r="AC38" s="1813">
        <f t="shared" si="17"/>
        <v>1</v>
      </c>
    </row>
    <row r="39" spans="1:29" ht="15">
      <c r="A39" s="472"/>
      <c r="B39" s="422" t="s">
        <v>2528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30"/>
      <c r="Q39" s="1812" t="str">
        <f t="shared" si="11"/>
        <v>市政基础设施</v>
      </c>
      <c r="R39" s="774" t="s">
        <v>21</v>
      </c>
      <c r="S39" s="775">
        <f t="shared" si="12"/>
        <v>100</v>
      </c>
      <c r="T39" s="774" t="s">
        <v>21</v>
      </c>
      <c r="U39" s="775">
        <f t="shared" si="13"/>
        <v>100</v>
      </c>
      <c r="V39" s="774" t="s">
        <v>21</v>
      </c>
      <c r="W39" s="775">
        <f t="shared" si="14"/>
        <v>100</v>
      </c>
      <c r="X39" s="1815"/>
      <c r="Y39" s="3158"/>
      <c r="Z39" s="1816" t="str">
        <f t="shared" si="18"/>
        <v>市政基础设施</v>
      </c>
      <c r="AA39" s="1813">
        <f t="shared" si="15"/>
        <v>1</v>
      </c>
      <c r="AB39" s="1813">
        <f t="shared" si="16"/>
        <v>1</v>
      </c>
      <c r="AC39" s="1813">
        <f t="shared" si="17"/>
        <v>1</v>
      </c>
    </row>
    <row r="40" spans="1:29" ht="15">
      <c r="A40" s="472"/>
      <c r="B40" s="422" t="s">
        <v>2529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30"/>
      <c r="Q40" s="1812" t="str">
        <f t="shared" si="11"/>
        <v>房型</v>
      </c>
      <c r="R40" s="774" t="s">
        <v>21</v>
      </c>
      <c r="S40" s="775">
        <f t="shared" si="12"/>
        <v>100</v>
      </c>
      <c r="T40" s="774" t="s">
        <v>21</v>
      </c>
      <c r="U40" s="775">
        <f t="shared" si="13"/>
        <v>100</v>
      </c>
      <c r="V40" s="774" t="s">
        <v>21</v>
      </c>
      <c r="W40" s="775">
        <f t="shared" si="14"/>
        <v>100</v>
      </c>
      <c r="X40" s="1815"/>
      <c r="Y40" s="3158"/>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30"/>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3">
        <f t="shared" si="15"/>
        <v>1</v>
      </c>
      <c r="AB41" s="1813">
        <f t="shared" si="16"/>
        <v>1</v>
      </c>
      <c r="AC41" s="1813">
        <f t="shared" si="17"/>
        <v>1</v>
      </c>
    </row>
    <row r="42" spans="1:29" ht="15">
      <c r="A42" s="472"/>
      <c r="B42" s="422" t="s">
        <v>2531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30"/>
      <c r="Q42" s="1812" t="str">
        <f t="shared" si="11"/>
        <v>内部装修</v>
      </c>
      <c r="R42" s="774" t="s">
        <v>21</v>
      </c>
      <c r="S42" s="775">
        <f t="shared" si="12"/>
        <v>100</v>
      </c>
      <c r="T42" s="774" t="s">
        <v>21</v>
      </c>
      <c r="U42" s="775">
        <f t="shared" si="13"/>
        <v>100</v>
      </c>
      <c r="V42" s="774" t="s">
        <v>21</v>
      </c>
      <c r="W42" s="775">
        <f t="shared" si="14"/>
        <v>100</v>
      </c>
      <c r="X42" s="1815"/>
      <c r="Y42" s="3158"/>
      <c r="Z42" s="1816" t="str">
        <f t="shared" si="18"/>
        <v>内部装修</v>
      </c>
      <c r="AA42" s="1813">
        <f t="shared" si="15"/>
        <v>1</v>
      </c>
      <c r="AB42" s="1813">
        <f t="shared" si="16"/>
        <v>1</v>
      </c>
      <c r="AC42" s="1813">
        <f t="shared" si="17"/>
        <v>1</v>
      </c>
    </row>
    <row r="43" spans="1:29" ht="15">
      <c r="A43" s="472"/>
      <c r="B43" s="422" t="s">
        <v>2532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30"/>
      <c r="Q43" s="1812" t="str">
        <f t="shared" si="11"/>
        <v>内部装修维护情况</v>
      </c>
      <c r="R43" s="774" t="s">
        <v>21</v>
      </c>
      <c r="S43" s="775">
        <f t="shared" si="12"/>
        <v>100</v>
      </c>
      <c r="T43" s="774" t="s">
        <v>21</v>
      </c>
      <c r="U43" s="775">
        <f t="shared" si="13"/>
        <v>100</v>
      </c>
      <c r="V43" s="774" t="s">
        <v>21</v>
      </c>
      <c r="W43" s="775">
        <f t="shared" si="14"/>
        <v>100</v>
      </c>
      <c r="X43" s="1815"/>
      <c r="Y43" s="315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30"/>
      <c r="Q44" s="1797">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30"/>
      <c r="Q45" s="1812">
        <f t="shared" si="11"/>
        <v>111</v>
      </c>
      <c r="R45" s="774" t="s">
        <v>21</v>
      </c>
      <c r="S45" s="775">
        <f t="shared" si="12"/>
        <v>100</v>
      </c>
      <c r="T45" s="774" t="s">
        <v>21</v>
      </c>
      <c r="U45" s="775">
        <f t="shared" si="13"/>
        <v>100</v>
      </c>
      <c r="V45" s="774" t="s">
        <v>21</v>
      </c>
      <c r="W45" s="775">
        <f t="shared" si="14"/>
        <v>100</v>
      </c>
      <c r="X45" s="1815"/>
      <c r="Y45" s="315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31"/>
      <c r="Q46" s="1812">
        <f t="shared" si="11"/>
        <v>111</v>
      </c>
      <c r="R46" s="774" t="s">
        <v>20</v>
      </c>
      <c r="S46" s="775">
        <f t="shared" si="12"/>
        <v>100</v>
      </c>
      <c r="T46" s="774" t="s">
        <v>20</v>
      </c>
      <c r="U46" s="775">
        <f t="shared" si="13"/>
        <v>100</v>
      </c>
      <c r="V46" s="774" t="s">
        <v>20</v>
      </c>
      <c r="W46" s="775">
        <f t="shared" si="14"/>
        <v>100</v>
      </c>
      <c r="X46" s="1815"/>
      <c r="Y46" s="3232"/>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21"/>
      <c r="L47" s="1145"/>
      <c r="M47" s="1146"/>
      <c r="N47" s="1133"/>
      <c r="O47" s="1146"/>
      <c r="P47" s="3152" t="str">
        <f>A47</f>
        <v>成交单价（元/平方米）</v>
      </c>
      <c r="Q47" s="3152"/>
      <c r="R47" s="3228">
        <f>E47</f>
        <v>0</v>
      </c>
      <c r="S47" s="3228"/>
      <c r="T47" s="3228">
        <f>G47</f>
        <v>0</v>
      </c>
      <c r="U47" s="3228"/>
      <c r="V47" s="3228">
        <f>I47</f>
        <v>0</v>
      </c>
      <c r="W47" s="3228"/>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22"/>
      <c r="L48" s="1145"/>
      <c r="M48" s="1146"/>
      <c r="N48" s="1146"/>
      <c r="O48" s="1146"/>
      <c r="P48" s="3152" t="str">
        <f>A48</f>
        <v>比较价值（元/平方米）</v>
      </c>
      <c r="Q48" s="3152"/>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3"/>
      <c r="L49" s="1145"/>
      <c r="M49" s="1146"/>
      <c r="N49" s="1146"/>
      <c r="O49" s="1146"/>
      <c r="P49" s="3149" t="str">
        <f>A49</f>
        <v>估价对象XX用房的比较价值（楼面单价，元/平方米）</v>
      </c>
      <c r="Q49" s="3150"/>
      <c r="R49" s="3227" t="e">
        <f>IF(F1="售价",ROUND(AVERAGE(R48:V48),0),ROUND(AVERAGE(R48:V48),1))</f>
        <v>#DIV/0!</v>
      </c>
      <c r="S49" s="3227"/>
      <c r="T49" s="3227"/>
      <c r="U49" s="3227"/>
      <c r="V49" s="3227"/>
      <c r="W49" s="322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6"/>
      <c r="Q57" s="504"/>
    </row>
    <row r="58" spans="1:29" s="508" customFormat="1" ht="15">
      <c r="A58" s="505" t="s">
        <v>2540</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2541</v>
      </c>
      <c r="B60" s="516"/>
      <c r="C60" s="517"/>
      <c r="D60" s="518"/>
      <c r="E60" s="518"/>
      <c r="F60" s="518"/>
      <c r="G60" s="518"/>
      <c r="H60" s="518"/>
      <c r="I60" s="518"/>
      <c r="J60" s="518"/>
      <c r="K60" s="518"/>
      <c r="L60" s="518"/>
      <c r="M60" s="519"/>
      <c r="N60" s="518"/>
      <c r="O60" s="519"/>
      <c r="P60" s="2628"/>
      <c r="Q60" s="504"/>
    </row>
    <row r="61" spans="1:29" s="117" customFormat="1" ht="15">
      <c r="A61" s="521" t="s">
        <v>2542</v>
      </c>
      <c r="B61" s="510"/>
      <c r="C61" s="522" t="s">
        <v>2543</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2544</v>
      </c>
      <c r="B63" s="528" t="s">
        <v>2510</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2058</v>
      </c>
      <c r="C82" s="539" t="s">
        <v>2560</v>
      </c>
      <c r="D82" s="539" t="s">
        <v>2561</v>
      </c>
      <c r="E82" s="539" t="s">
        <v>2562</v>
      </c>
      <c r="F82" s="539" t="s">
        <v>2563</v>
      </c>
      <c r="G82" s="539" t="s">
        <v>2564</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2566</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2567</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2519</v>
      </c>
      <c r="B100" s="528" t="s">
        <v>2568</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2570</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2571</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2572</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1966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2573</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2574</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2575</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2576</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2578</v>
      </c>
    </row>
    <row r="137" spans="1:17" ht="15">
      <c r="B137" s="2638" t="s">
        <v>2579</v>
      </c>
      <c r="C137" s="2639"/>
      <c r="D137" s="2639"/>
      <c r="E137" s="2639"/>
      <c r="F137" s="2639"/>
      <c r="G137" s="2640"/>
      <c r="H137" s="2641"/>
      <c r="I137" s="2642" t="s">
        <v>2580</v>
      </c>
      <c r="J137" s="2639"/>
      <c r="K137" s="2643"/>
    </row>
    <row r="138" spans="1:17" ht="15">
      <c r="B138" s="2644"/>
      <c r="C138" s="146" t="s">
        <v>2581</v>
      </c>
      <c r="D138" s="146" t="s">
        <v>2582</v>
      </c>
      <c r="E138" s="2645" t="s">
        <v>2583</v>
      </c>
      <c r="F138" s="2646" t="s">
        <v>2584</v>
      </c>
      <c r="G138" s="146" t="s">
        <v>2582</v>
      </c>
      <c r="H138" s="147" t="s">
        <v>2583</v>
      </c>
      <c r="I138" s="2647"/>
      <c r="J138" s="146" t="s">
        <v>2585</v>
      </c>
      <c r="K138" s="147" t="s">
        <v>2586</v>
      </c>
    </row>
    <row r="139" spans="1:17" ht="15">
      <c r="B139" s="1086">
        <v>6</v>
      </c>
      <c r="C139" s="1087">
        <v>96</v>
      </c>
      <c r="D139" s="2648" t="s">
        <v>2587</v>
      </c>
      <c r="E139" s="1088">
        <v>100</v>
      </c>
      <c r="F139" s="1089">
        <v>102.5</v>
      </c>
      <c r="G139" s="2648" t="s">
        <v>2587</v>
      </c>
      <c r="H139" s="1090">
        <v>105</v>
      </c>
      <c r="I139" s="2649" t="s">
        <v>2588</v>
      </c>
      <c r="J139" s="1087">
        <v>20</v>
      </c>
      <c r="K139" s="1091">
        <f>C145/(J139-2)</f>
        <v>4.0555555555555553E-3</v>
      </c>
    </row>
    <row r="140" spans="1:17" ht="15">
      <c r="B140" s="1092">
        <v>5</v>
      </c>
      <c r="C140" s="1093">
        <v>100</v>
      </c>
      <c r="D140" s="1093"/>
      <c r="E140" s="1094"/>
      <c r="F140" s="1095">
        <v>102</v>
      </c>
      <c r="G140" s="1093"/>
      <c r="H140" s="1096"/>
      <c r="I140" s="2650" t="s">
        <v>2589</v>
      </c>
      <c r="J140" s="315">
        <f>ROUNDUP((J139-1)/2,0)</f>
        <v>10</v>
      </c>
      <c r="K140" s="1097">
        <v>100</v>
      </c>
    </row>
    <row r="141" spans="1:17" ht="15">
      <c r="B141" s="1092">
        <v>4</v>
      </c>
      <c r="C141" s="1093">
        <v>102</v>
      </c>
      <c r="D141" s="1093"/>
      <c r="E141" s="1094"/>
      <c r="F141" s="1095">
        <v>101.5</v>
      </c>
      <c r="G141" s="1093"/>
      <c r="H141" s="1096"/>
      <c r="I141" s="2650" t="s">
        <v>2590</v>
      </c>
      <c r="J141" s="315">
        <v>1</v>
      </c>
      <c r="K141" s="1098">
        <f>ROUND(100+(J141-J140)*K139*100,1)</f>
        <v>96.4</v>
      </c>
    </row>
    <row r="142" spans="1:17" ht="15">
      <c r="B142" s="1092">
        <v>3</v>
      </c>
      <c r="C142" s="1093">
        <v>103</v>
      </c>
      <c r="D142" s="1093"/>
      <c r="E142" s="1094"/>
      <c r="F142" s="1095">
        <v>101</v>
      </c>
      <c r="G142" s="1093"/>
      <c r="H142" s="1096"/>
      <c r="I142" s="2650" t="s">
        <v>2591</v>
      </c>
      <c r="J142" s="315">
        <f>J139</f>
        <v>20</v>
      </c>
      <c r="K142" s="1099">
        <v>95</v>
      </c>
    </row>
    <row r="143" spans="1:17" ht="15">
      <c r="B143" s="1092">
        <v>2</v>
      </c>
      <c r="C143" s="1093">
        <v>100</v>
      </c>
      <c r="D143" s="1093"/>
      <c r="E143" s="1094"/>
      <c r="F143" s="1095">
        <v>100.5</v>
      </c>
      <c r="G143" s="1093"/>
      <c r="H143" s="1096"/>
      <c r="I143" s="2650" t="s">
        <v>2592</v>
      </c>
      <c r="J143" s="1093">
        <v>15</v>
      </c>
      <c r="K143" s="1098">
        <f>ROUND(100+(J143-J140)*K139*100,1)</f>
        <v>102</v>
      </c>
    </row>
    <row r="144" spans="1:17" ht="15">
      <c r="B144" s="1092">
        <v>1</v>
      </c>
      <c r="C144" s="1093">
        <v>98</v>
      </c>
      <c r="D144" s="2651" t="s">
        <v>2593</v>
      </c>
      <c r="E144" s="1094">
        <v>102</v>
      </c>
      <c r="F144" s="1100">
        <v>100</v>
      </c>
      <c r="G144" s="2651" t="s">
        <v>2593</v>
      </c>
      <c r="H144" s="1096">
        <v>105</v>
      </c>
      <c r="I144" s="2650" t="s">
        <v>2592</v>
      </c>
      <c r="J144" s="1093">
        <v>18</v>
      </c>
      <c r="K144" s="1098">
        <f>ROUND(100+(J144-J140)*K139*100,1)</f>
        <v>103.2</v>
      </c>
    </row>
    <row r="145" spans="2:11" ht="15.75" thickBot="1">
      <c r="B145" s="2652" t="s">
        <v>2594</v>
      </c>
      <c r="C145" s="1101">
        <f>ROUND(MAX(C139:C144)/MIN(C139:C144)-1,3)</f>
        <v>7.2999999999999995E-2</v>
      </c>
      <c r="D145" s="1102"/>
      <c r="E145" s="1102"/>
      <c r="F145" s="2653" t="s">
        <v>2595</v>
      </c>
      <c r="G145" s="2654"/>
      <c r="H145" s="2655"/>
      <c r="I145" s="2656" t="s">
        <v>2592</v>
      </c>
      <c r="J145" s="1103">
        <v>8</v>
      </c>
      <c r="K145" s="1104">
        <f>ROUND(100+(J145-J140)*K139*100,1)</f>
        <v>99.2</v>
      </c>
    </row>
    <row r="147" spans="2:11">
      <c r="B147" s="2637" t="s">
        <v>2596</v>
      </c>
    </row>
    <row r="148" spans="2:11">
      <c r="B148" s="2637"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82" t="s">
        <v>2598</v>
      </c>
      <c r="C1" s="1636" t="s">
        <v>2486</v>
      </c>
      <c r="D1" s="1623"/>
      <c r="E1" s="2657"/>
      <c r="F1" s="2584"/>
      <c r="G1" s="1633" t="s">
        <v>2599</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2283</v>
      </c>
      <c r="B2" s="1420" t="e">
        <f ca="1">IF(C2="——",ROUND(C49*D3/10000,0),ROUND(C49*D3/10000,0)-D2)</f>
        <v>#DIV/0!</v>
      </c>
      <c r="C2" s="2586"/>
      <c r="D2" s="1367" t="e">
        <f ca="1">SUMIF(INDIRECT("'"&amp;F2&amp;"'"&amp;"!A:A"),"承租人权益价值",INDIRECT("'"&amp;F2&amp;"'"&amp;"!c:c"))</f>
        <v>#REF!</v>
      </c>
      <c r="E2" s="2587" t="s">
        <v>2284</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2285</v>
      </c>
      <c r="B3" s="609" t="e">
        <f ca="1">IF(C2="——",C49,ROUND(B2*10000/D3,0))</f>
        <v>#DIV/0!</v>
      </c>
      <c r="C3" s="400" t="s">
        <v>2600</v>
      </c>
      <c r="D3" s="399">
        <f>IF(D1="",'数据-汇总表'!E3,SUMIF('数据-汇总表'!$C19:$C33,D1,'数据-汇总表'!$E19:$E33))</f>
        <v>45029.380000000005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54" t="s">
        <v>2604</v>
      </c>
      <c r="AC4" s="3159" t="s">
        <v>2605</v>
      </c>
    </row>
    <row r="5" spans="1:29" ht="15">
      <c r="A5" s="404"/>
      <c r="B5" s="405"/>
      <c r="C5" s="3183" t="s">
        <v>2498</v>
      </c>
      <c r="D5" s="3184"/>
      <c r="E5" s="3172" t="s">
        <v>2499</v>
      </c>
      <c r="F5" s="3173"/>
      <c r="G5" s="3183" t="s">
        <v>2500</v>
      </c>
      <c r="H5" s="3184"/>
      <c r="I5" s="3183" t="s">
        <v>2501</v>
      </c>
      <c r="J5" s="3184"/>
      <c r="K5" s="610"/>
      <c r="L5" s="1132"/>
      <c r="M5" s="1133"/>
      <c r="N5" s="1133"/>
      <c r="O5" s="1133"/>
      <c r="P5" s="3168"/>
      <c r="Q5" s="3169"/>
      <c r="R5" s="3181"/>
      <c r="S5" s="3182"/>
      <c r="T5" s="3181"/>
      <c r="U5" s="3182"/>
      <c r="V5" s="3154"/>
      <c r="W5" s="3154"/>
      <c r="X5" s="1815"/>
      <c r="Y5" s="3181"/>
      <c r="Z5" s="3182"/>
      <c r="AA5" s="3160"/>
      <c r="AB5" s="3154"/>
      <c r="AC5" s="3160"/>
    </row>
    <row r="6" spans="1:29" ht="15.75" thickBot="1">
      <c r="A6" s="406"/>
      <c r="B6" s="407"/>
      <c r="C6" s="3223" t="s">
        <v>2502</v>
      </c>
      <c r="D6" s="3224"/>
      <c r="E6" s="3225" t="s">
        <v>2502</v>
      </c>
      <c r="F6" s="3226"/>
      <c r="G6" s="3223" t="s">
        <v>2502</v>
      </c>
      <c r="H6" s="3224"/>
      <c r="I6" s="3223" t="s">
        <v>2502</v>
      </c>
      <c r="J6" s="3224"/>
      <c r="K6" s="610" t="s">
        <v>2503</v>
      </c>
      <c r="L6" s="1132"/>
      <c r="M6" s="1133"/>
      <c r="N6" s="1133"/>
      <c r="O6" s="1133"/>
      <c r="P6" s="3170"/>
      <c r="Q6" s="3171"/>
      <c r="R6" s="3181"/>
      <c r="S6" s="3182"/>
      <c r="T6" s="3191"/>
      <c r="U6" s="3192"/>
      <c r="V6" s="3154"/>
      <c r="W6" s="3154"/>
      <c r="X6" s="1815"/>
      <c r="Y6" s="3191"/>
      <c r="Z6" s="3192"/>
      <c r="AA6" s="3161"/>
      <c r="AB6" s="3154"/>
      <c r="AC6" s="3161"/>
    </row>
    <row r="7" spans="1:29" s="117" customFormat="1" ht="15.75" thickBot="1">
      <c r="A7" s="408" t="s">
        <v>2504</v>
      </c>
      <c r="B7" s="409"/>
      <c r="C7" s="410">
        <f>'数据-取费表'!B2</f>
        <v>43245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74" t="s">
        <v>2505</v>
      </c>
      <c r="Q7" s="3187"/>
      <c r="R7" s="770" t="s">
        <v>17</v>
      </c>
      <c r="S7" s="771">
        <f t="shared" ref="S7:S15" si="0">F7</f>
        <v>0</v>
      </c>
      <c r="T7" s="770" t="s">
        <v>17</v>
      </c>
      <c r="U7" s="771">
        <f t="shared" ref="U7:U15" si="1">H7</f>
        <v>0</v>
      </c>
      <c r="V7" s="770" t="s">
        <v>17</v>
      </c>
      <c r="W7" s="771">
        <f t="shared" ref="W7:W15" si="2">J7</f>
        <v>0</v>
      </c>
      <c r="X7" s="772"/>
      <c r="Y7" s="3174" t="s">
        <v>2505</v>
      </c>
      <c r="Z7" s="3175"/>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74" t="s">
        <v>2508</v>
      </c>
      <c r="Q8" s="3175"/>
      <c r="R8" s="770" t="s">
        <v>17</v>
      </c>
      <c r="S8" s="771">
        <f t="shared" si="0"/>
        <v>0</v>
      </c>
      <c r="T8" s="770" t="s">
        <v>17</v>
      </c>
      <c r="U8" s="771">
        <f t="shared" si="1"/>
        <v>0</v>
      </c>
      <c r="V8" s="770" t="s">
        <v>17</v>
      </c>
      <c r="W8" s="771">
        <f t="shared" si="2"/>
        <v>0</v>
      </c>
      <c r="X8" s="772"/>
      <c r="Y8" s="3174" t="s">
        <v>2508</v>
      </c>
      <c r="Z8" s="3175"/>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7"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7"/>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7"/>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7"/>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7"/>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7"/>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2515</v>
      </c>
      <c r="B15" s="69" t="s">
        <v>2609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3" t="s">
        <v>2516</v>
      </c>
      <c r="Q15" s="1812" t="str">
        <f t="shared" si="6"/>
        <v>商业繁华度</v>
      </c>
      <c r="R15" s="774" t="s">
        <v>17</v>
      </c>
      <c r="S15" s="775">
        <f t="shared" si="0"/>
        <v>100</v>
      </c>
      <c r="T15" s="774" t="s">
        <v>17</v>
      </c>
      <c r="U15" s="775">
        <f t="shared" si="1"/>
        <v>100</v>
      </c>
      <c r="V15" s="774" t="s">
        <v>17</v>
      </c>
      <c r="W15" s="775">
        <f t="shared" si="2"/>
        <v>100</v>
      </c>
      <c r="X15" s="1815"/>
      <c r="Y15" s="3155"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4"/>
      <c r="Q16" s="1812"/>
      <c r="R16" s="774"/>
      <c r="S16" s="775"/>
      <c r="T16" s="774"/>
      <c r="U16" s="775"/>
      <c r="V16" s="774"/>
      <c r="W16" s="775"/>
      <c r="X16" s="1815"/>
      <c r="Y16" s="3156"/>
      <c r="Z16" s="1816"/>
      <c r="AA16" s="1813">
        <v>1</v>
      </c>
      <c r="AB16" s="1813">
        <v>1</v>
      </c>
      <c r="AC16" s="1813">
        <v>1</v>
      </c>
    </row>
    <row r="17" spans="1:29" ht="85.5">
      <c r="A17" s="428"/>
      <c r="B17" s="451" t="s">
        <v>2057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4"/>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33"/>
      <c r="P18" s="3234"/>
      <c r="Q18" s="1812"/>
      <c r="R18" s="774"/>
      <c r="S18" s="775"/>
      <c r="T18" s="774"/>
      <c r="U18" s="775"/>
      <c r="V18" s="774"/>
      <c r="W18" s="775"/>
      <c r="X18" s="1815"/>
      <c r="Y18" s="3156"/>
      <c r="Z18" s="1816"/>
      <c r="AA18" s="1813">
        <v>1</v>
      </c>
      <c r="AB18" s="1813">
        <v>1</v>
      </c>
      <c r="AC18" s="1813">
        <v>1</v>
      </c>
    </row>
    <row r="19" spans="1:29" ht="42.75">
      <c r="A19" s="428"/>
      <c r="B19" s="451" t="s">
        <v>2610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4"/>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33"/>
      <c r="P20" s="3234"/>
      <c r="Q20" s="1812"/>
      <c r="R20" s="774"/>
      <c r="S20" s="775"/>
      <c r="T20" s="774"/>
      <c r="U20" s="775"/>
      <c r="V20" s="774"/>
      <c r="W20" s="775"/>
      <c r="X20" s="1815"/>
      <c r="Y20" s="3156"/>
      <c r="Z20" s="1816"/>
      <c r="AA20" s="1813">
        <v>1</v>
      </c>
      <c r="AB20" s="1813">
        <v>1</v>
      </c>
      <c r="AC20" s="1813">
        <v>1</v>
      </c>
    </row>
    <row r="21" spans="1:29" ht="28.5">
      <c r="A21" s="428"/>
      <c r="B21" s="1386" t="s">
        <v>2611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4"/>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33"/>
      <c r="P22" s="3234"/>
      <c r="Q22" s="1812"/>
      <c r="R22" s="774"/>
      <c r="S22" s="775"/>
      <c r="T22" s="774"/>
      <c r="U22" s="775"/>
      <c r="V22" s="774"/>
      <c r="W22" s="775"/>
      <c r="X22" s="1815"/>
      <c r="Y22" s="3156"/>
      <c r="Z22" s="1816"/>
      <c r="AA22" s="1813">
        <v>1</v>
      </c>
      <c r="AB22" s="1813">
        <v>1</v>
      </c>
      <c r="AC22" s="1813">
        <v>1</v>
      </c>
    </row>
    <row r="23" spans="1:29" ht="57">
      <c r="A23" s="428"/>
      <c r="B23" s="451" t="s">
        <v>2061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4"/>
      <c r="Q23" s="1812" t="str">
        <f>B23</f>
        <v>自然及人文环境</v>
      </c>
      <c r="R23" s="774" t="s">
        <v>17</v>
      </c>
      <c r="S23" s="775">
        <f>F23</f>
        <v>100</v>
      </c>
      <c r="T23" s="774" t="s">
        <v>17</v>
      </c>
      <c r="U23" s="775">
        <f>H23</f>
        <v>100</v>
      </c>
      <c r="V23" s="774" t="s">
        <v>17</v>
      </c>
      <c r="W23" s="775">
        <f>J23</f>
        <v>100</v>
      </c>
      <c r="X23" s="1815"/>
      <c r="Y23" s="3156"/>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2"/>
      <c r="M24" s="1133"/>
      <c r="N24" s="1133"/>
      <c r="O24" s="1133"/>
      <c r="P24" s="3234"/>
      <c r="Q24" s="1812"/>
      <c r="R24" s="774"/>
      <c r="S24" s="775"/>
      <c r="T24" s="774"/>
      <c r="U24" s="775"/>
      <c r="V24" s="774"/>
      <c r="W24" s="775"/>
      <c r="X24" s="1815"/>
      <c r="Y24" s="3156"/>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4"/>
      <c r="Q25" s="1812" t="str">
        <f t="shared" ref="Q25:Q46" si="11">B25</f>
        <v>临街状况</v>
      </c>
      <c r="R25" s="774" t="s">
        <v>17</v>
      </c>
      <c r="S25" s="775">
        <f>F25</f>
        <v>100</v>
      </c>
      <c r="T25" s="774" t="s">
        <v>17</v>
      </c>
      <c r="U25" s="775">
        <f>H25</f>
        <v>100</v>
      </c>
      <c r="V25" s="774" t="s">
        <v>17</v>
      </c>
      <c r="W25" s="775">
        <f>J25</f>
        <v>100</v>
      </c>
      <c r="X25" s="1815"/>
      <c r="Y25" s="3156"/>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4"/>
      <c r="Q26" s="1812" t="str">
        <f t="shared" si="11"/>
        <v>平面位置/可视性</v>
      </c>
      <c r="R26" s="774" t="s">
        <v>17</v>
      </c>
      <c r="S26" s="775">
        <f>F26</f>
        <v>100</v>
      </c>
      <c r="T26" s="774" t="s">
        <v>17</v>
      </c>
      <c r="U26" s="775">
        <f>H26</f>
        <v>100</v>
      </c>
      <c r="V26" s="774" t="s">
        <v>17</v>
      </c>
      <c r="W26" s="775">
        <f>J26</f>
        <v>100</v>
      </c>
      <c r="X26" s="1815"/>
      <c r="Y26" s="3156"/>
      <c r="Z26" s="1816" t="str">
        <f>Q26</f>
        <v>平面位置/可视性</v>
      </c>
      <c r="AA26" s="1813">
        <f t="shared" si="3"/>
        <v>1</v>
      </c>
      <c r="AB26" s="1813">
        <f t="shared" si="4"/>
        <v>1</v>
      </c>
      <c r="AC26" s="1813">
        <f t="shared" si="5"/>
        <v>1</v>
      </c>
    </row>
    <row r="27" spans="1:29" s="117" customFormat="1" ht="15">
      <c r="A27" s="431"/>
      <c r="B27" s="451" t="s">
        <v>2614</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34"/>
      <c r="Q27" s="1797" t="str">
        <f t="shared" si="11"/>
        <v>人流量</v>
      </c>
      <c r="R27" s="770" t="s">
        <v>17</v>
      </c>
      <c r="S27" s="771">
        <f>F27</f>
        <v>100</v>
      </c>
      <c r="T27" s="770" t="s">
        <v>17</v>
      </c>
      <c r="U27" s="771">
        <f>H27</f>
        <v>100</v>
      </c>
      <c r="V27" s="770" t="s">
        <v>17</v>
      </c>
      <c r="W27" s="771">
        <f>J27</f>
        <v>100</v>
      </c>
      <c r="X27" s="772"/>
      <c r="Y27" s="3156"/>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5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4"/>
      <c r="Q29" s="1812">
        <f t="shared" si="11"/>
        <v>111</v>
      </c>
      <c r="R29" s="774" t="s">
        <v>17</v>
      </c>
      <c r="S29" s="775">
        <f t="shared" si="12"/>
        <v>100</v>
      </c>
      <c r="T29" s="774" t="s">
        <v>17</v>
      </c>
      <c r="U29" s="775">
        <f t="shared" si="13"/>
        <v>100</v>
      </c>
      <c r="V29" s="774" t="s">
        <v>17</v>
      </c>
      <c r="W29" s="775">
        <f t="shared" si="14"/>
        <v>100</v>
      </c>
      <c r="X29" s="1815"/>
      <c r="Y29" s="315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4"/>
      <c r="Q30" s="1812">
        <f t="shared" si="11"/>
        <v>111</v>
      </c>
      <c r="R30" s="774" t="s">
        <v>17</v>
      </c>
      <c r="S30" s="775">
        <f t="shared" si="12"/>
        <v>100</v>
      </c>
      <c r="T30" s="774" t="s">
        <v>17</v>
      </c>
      <c r="U30" s="775">
        <f t="shared" si="13"/>
        <v>100</v>
      </c>
      <c r="V30" s="774" t="s">
        <v>17</v>
      </c>
      <c r="W30" s="775">
        <f t="shared" si="14"/>
        <v>100</v>
      </c>
      <c r="X30" s="1815"/>
      <c r="Y30" s="315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4"/>
      <c r="Q31" s="1812">
        <f t="shared" si="11"/>
        <v>111</v>
      </c>
      <c r="R31" s="774" t="s">
        <v>17</v>
      </c>
      <c r="S31" s="775">
        <f t="shared" si="12"/>
        <v>100</v>
      </c>
      <c r="T31" s="774" t="s">
        <v>17</v>
      </c>
      <c r="U31" s="775">
        <f t="shared" si="13"/>
        <v>100</v>
      </c>
      <c r="V31" s="774" t="s">
        <v>17</v>
      </c>
      <c r="W31" s="775">
        <f t="shared" si="14"/>
        <v>100</v>
      </c>
      <c r="X31" s="1815"/>
      <c r="Y31" s="3156"/>
      <c r="Z31" s="1816">
        <f t="shared" si="15"/>
        <v>111</v>
      </c>
      <c r="AA31" s="1813">
        <f t="shared" si="3"/>
        <v>1</v>
      </c>
      <c r="AB31" s="1813">
        <f t="shared" si="4"/>
        <v>1</v>
      </c>
      <c r="AC31" s="1813">
        <f t="shared" si="5"/>
        <v>1</v>
      </c>
    </row>
    <row r="32" spans="1:29" ht="15">
      <c r="A32" s="440" t="s">
        <v>2519</v>
      </c>
      <c r="B32" s="71" t="s">
        <v>2616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29" t="s">
        <v>2521</v>
      </c>
      <c r="Q32" s="1812" t="str">
        <f t="shared" si="11"/>
        <v>商业类型</v>
      </c>
      <c r="R32" s="774" t="s">
        <v>17</v>
      </c>
      <c r="S32" s="775">
        <f t="shared" si="12"/>
        <v>100</v>
      </c>
      <c r="T32" s="774" t="s">
        <v>17</v>
      </c>
      <c r="U32" s="775">
        <f t="shared" si="13"/>
        <v>100</v>
      </c>
      <c r="V32" s="774" t="s">
        <v>17</v>
      </c>
      <c r="W32" s="775">
        <f t="shared" si="14"/>
        <v>100</v>
      </c>
      <c r="X32" s="1815"/>
      <c r="Y32" s="3158"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0"/>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3" t="e">
        <f t="shared" si="3"/>
        <v>#N/A</v>
      </c>
      <c r="AB33" s="1813" t="e">
        <f t="shared" si="4"/>
        <v>#N/A</v>
      </c>
      <c r="AC33" s="1813" t="e">
        <f t="shared" si="5"/>
        <v>#N/A</v>
      </c>
    </row>
    <row r="34" spans="1:29" ht="15">
      <c r="A34" s="472"/>
      <c r="B34" s="422" t="s">
        <v>2523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30"/>
      <c r="Q34" s="1812" t="str">
        <f t="shared" si="11"/>
        <v>建筑结构</v>
      </c>
      <c r="R34" s="774" t="s">
        <v>17</v>
      </c>
      <c r="S34" s="775">
        <f t="shared" si="12"/>
        <v>100</v>
      </c>
      <c r="T34" s="774" t="s">
        <v>17</v>
      </c>
      <c r="U34" s="775">
        <f t="shared" si="13"/>
        <v>100</v>
      </c>
      <c r="V34" s="774" t="s">
        <v>17</v>
      </c>
      <c r="W34" s="775">
        <f t="shared" si="14"/>
        <v>100</v>
      </c>
      <c r="X34" s="1815"/>
      <c r="Y34" s="3158"/>
      <c r="Z34" s="1816" t="str">
        <f t="shared" si="15"/>
        <v>建筑结构</v>
      </c>
      <c r="AA34" s="1813">
        <f t="shared" si="3"/>
        <v>1</v>
      </c>
      <c r="AB34" s="1813">
        <f t="shared" si="4"/>
        <v>1</v>
      </c>
      <c r="AC34" s="1813">
        <f t="shared" si="5"/>
        <v>1</v>
      </c>
    </row>
    <row r="35" spans="1:29" ht="15">
      <c r="A35" s="472"/>
      <c r="B35" s="422" t="s">
        <v>2617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30"/>
      <c r="Q35" s="1812" t="str">
        <f t="shared" si="11"/>
        <v>公共部分装修</v>
      </c>
      <c r="R35" s="774" t="s">
        <v>17</v>
      </c>
      <c r="S35" s="775">
        <f t="shared" si="12"/>
        <v>100</v>
      </c>
      <c r="T35" s="774" t="s">
        <v>17</v>
      </c>
      <c r="U35" s="775">
        <f t="shared" si="13"/>
        <v>100</v>
      </c>
      <c r="V35" s="774" t="s">
        <v>17</v>
      </c>
      <c r="W35" s="775">
        <f t="shared" si="14"/>
        <v>100</v>
      </c>
      <c r="X35" s="1815"/>
      <c r="Y35" s="3158"/>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0"/>
      <c r="Q36" s="1812" t="str">
        <f t="shared" si="11"/>
        <v>成新度</v>
      </c>
      <c r="R36" s="774" t="s">
        <v>17</v>
      </c>
      <c r="S36" s="775" t="e">
        <f t="shared" si="12"/>
        <v>#N/A</v>
      </c>
      <c r="T36" s="774" t="s">
        <v>17</v>
      </c>
      <c r="U36" s="775" t="e">
        <f t="shared" si="13"/>
        <v>#N/A</v>
      </c>
      <c r="V36" s="774" t="s">
        <v>17</v>
      </c>
      <c r="W36" s="775" t="e">
        <f t="shared" si="14"/>
        <v>#N/A</v>
      </c>
      <c r="X36" s="1815"/>
      <c r="Y36" s="3158"/>
      <c r="Z36" s="1816" t="str">
        <f t="shared" si="15"/>
        <v>成新度</v>
      </c>
      <c r="AA36" s="1813" t="e">
        <f t="shared" si="3"/>
        <v>#N/A</v>
      </c>
      <c r="AB36" s="1813" t="e">
        <f t="shared" si="4"/>
        <v>#N/A</v>
      </c>
      <c r="AC36" s="1813" t="e">
        <f t="shared" si="5"/>
        <v>#N/A</v>
      </c>
    </row>
    <row r="37" spans="1:29" s="117" customFormat="1" ht="15">
      <c r="A37" s="473"/>
      <c r="B37" s="422" t="s">
        <v>2619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30"/>
      <c r="Q37" s="1797"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2620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30" t="s">
        <v>2521</v>
      </c>
      <c r="Q38" s="1812" t="str">
        <f t="shared" si="11"/>
        <v>业态</v>
      </c>
      <c r="R38" s="774" t="s">
        <v>17</v>
      </c>
      <c r="S38" s="775">
        <f t="shared" si="12"/>
        <v>100</v>
      </c>
      <c r="T38" s="774" t="s">
        <v>17</v>
      </c>
      <c r="U38" s="775">
        <f t="shared" si="13"/>
        <v>100</v>
      </c>
      <c r="V38" s="774" t="s">
        <v>17</v>
      </c>
      <c r="W38" s="775">
        <f t="shared" si="14"/>
        <v>100</v>
      </c>
      <c r="X38" s="1815"/>
      <c r="Y38" s="3158" t="s">
        <v>2521</v>
      </c>
      <c r="Z38" s="1816" t="str">
        <f t="shared" si="15"/>
        <v>业态</v>
      </c>
      <c r="AA38" s="1813">
        <f t="shared" si="3"/>
        <v>1</v>
      </c>
      <c r="AB38" s="1813">
        <f t="shared" si="4"/>
        <v>1</v>
      </c>
      <c r="AC38" s="1813">
        <f t="shared" si="5"/>
        <v>1</v>
      </c>
    </row>
    <row r="39" spans="1:29" ht="15">
      <c r="A39" s="472"/>
      <c r="B39" s="422" t="s">
        <v>2621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30"/>
      <c r="Q39" s="1812" t="str">
        <f t="shared" si="11"/>
        <v>层高</v>
      </c>
      <c r="R39" s="774" t="s">
        <v>17</v>
      </c>
      <c r="S39" s="775">
        <f t="shared" si="12"/>
        <v>100</v>
      </c>
      <c r="T39" s="774" t="s">
        <v>17</v>
      </c>
      <c r="U39" s="775">
        <f t="shared" si="13"/>
        <v>100</v>
      </c>
      <c r="V39" s="774" t="s">
        <v>17</v>
      </c>
      <c r="W39" s="775">
        <f t="shared" si="14"/>
        <v>100</v>
      </c>
      <c r="X39" s="1815"/>
      <c r="Y39" s="3158"/>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0"/>
      <c r="Q40" s="1812" t="str">
        <f t="shared" si="11"/>
        <v>单套建筑面积</v>
      </c>
      <c r="R40" s="774" t="s">
        <v>17</v>
      </c>
      <c r="S40" s="775">
        <f t="shared" si="12"/>
        <v>100</v>
      </c>
      <c r="T40" s="774" t="s">
        <v>17</v>
      </c>
      <c r="U40" s="775">
        <f t="shared" si="13"/>
        <v>100</v>
      </c>
      <c r="V40" s="774" t="s">
        <v>17</v>
      </c>
      <c r="W40" s="775">
        <f t="shared" si="14"/>
        <v>100</v>
      </c>
      <c r="X40" s="1815"/>
      <c r="Y40" s="3158"/>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0"/>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3">
        <f t="shared" si="3"/>
        <v>1</v>
      </c>
      <c r="AB41" s="1813">
        <f t="shared" si="4"/>
        <v>1</v>
      </c>
      <c r="AC41" s="1813">
        <f t="shared" si="5"/>
        <v>1</v>
      </c>
    </row>
    <row r="42" spans="1:29" ht="15">
      <c r="A42" s="472"/>
      <c r="B42" s="422" t="s">
        <v>2624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30"/>
      <c r="Q42" s="1812" t="str">
        <f t="shared" si="11"/>
        <v>内部装修</v>
      </c>
      <c r="R42" s="774" t="s">
        <v>17</v>
      </c>
      <c r="S42" s="775">
        <f t="shared" si="12"/>
        <v>100</v>
      </c>
      <c r="T42" s="774" t="s">
        <v>17</v>
      </c>
      <c r="U42" s="775">
        <f t="shared" si="13"/>
        <v>100</v>
      </c>
      <c r="V42" s="774" t="s">
        <v>17</v>
      </c>
      <c r="W42" s="775">
        <f t="shared" si="14"/>
        <v>100</v>
      </c>
      <c r="X42" s="1815"/>
      <c r="Y42" s="3158"/>
      <c r="Z42" s="1816" t="str">
        <f t="shared" si="15"/>
        <v>内部装修</v>
      </c>
      <c r="AA42" s="1813">
        <f t="shared" si="3"/>
        <v>1</v>
      </c>
      <c r="AB42" s="1813">
        <f t="shared" si="4"/>
        <v>1</v>
      </c>
      <c r="AC42" s="1813">
        <f t="shared" si="5"/>
        <v>1</v>
      </c>
    </row>
    <row r="43" spans="1:29" ht="15">
      <c r="A43" s="472"/>
      <c r="B43" s="422" t="s">
        <v>2532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30"/>
      <c r="Q43" s="1812" t="str">
        <f t="shared" si="11"/>
        <v>内部装修维护情况</v>
      </c>
      <c r="R43" s="774" t="s">
        <v>17</v>
      </c>
      <c r="S43" s="775">
        <f t="shared" si="12"/>
        <v>100</v>
      </c>
      <c r="T43" s="774" t="s">
        <v>17</v>
      </c>
      <c r="U43" s="775">
        <f t="shared" si="13"/>
        <v>100</v>
      </c>
      <c r="V43" s="774" t="s">
        <v>17</v>
      </c>
      <c r="W43" s="775">
        <f t="shared" si="14"/>
        <v>100</v>
      </c>
      <c r="X43" s="1815"/>
      <c r="Y43" s="315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7">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2">
        <f t="shared" si="11"/>
        <v>111</v>
      </c>
      <c r="R45" s="774" t="s">
        <v>17</v>
      </c>
      <c r="S45" s="775">
        <f t="shared" si="12"/>
        <v>100</v>
      </c>
      <c r="T45" s="774" t="s">
        <v>17</v>
      </c>
      <c r="U45" s="775">
        <f t="shared" si="13"/>
        <v>100</v>
      </c>
      <c r="V45" s="774" t="s">
        <v>17</v>
      </c>
      <c r="W45" s="775">
        <f t="shared" si="14"/>
        <v>100</v>
      </c>
      <c r="X45" s="1815"/>
      <c r="Y45" s="315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2">
        <f t="shared" si="11"/>
        <v>111</v>
      </c>
      <c r="R46" s="774" t="s">
        <v>17</v>
      </c>
      <c r="S46" s="775">
        <f t="shared" si="12"/>
        <v>100</v>
      </c>
      <c r="T46" s="774" t="s">
        <v>17</v>
      </c>
      <c r="U46" s="775">
        <f t="shared" si="13"/>
        <v>100</v>
      </c>
      <c r="V46" s="774" t="s">
        <v>17</v>
      </c>
      <c r="W46" s="775">
        <f t="shared" si="14"/>
        <v>100</v>
      </c>
      <c r="X46" s="1815"/>
      <c r="Y46" s="3232"/>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152" t="str">
        <f>A47</f>
        <v>成交单价（元/平方米）</v>
      </c>
      <c r="Q47" s="3152"/>
      <c r="R47" s="3154">
        <f>E47</f>
        <v>0</v>
      </c>
      <c r="S47" s="3154"/>
      <c r="T47" s="3154">
        <f>G47</f>
        <v>0</v>
      </c>
      <c r="U47" s="3154"/>
      <c r="V47" s="3154">
        <f>I47</f>
        <v>0</v>
      </c>
      <c r="W47" s="3154"/>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152" t="str">
        <f>A48</f>
        <v>比较价值（元/平方米）</v>
      </c>
      <c r="Q48" s="3152"/>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149" t="str">
        <f>A49</f>
        <v>估价对象XX用房的比较价值（楼面单价，元/平方米）</v>
      </c>
      <c r="Q49" s="3150"/>
      <c r="R49" s="3227" t="e">
        <f>IF(F1="售价",ROUND(AVERAGE(R48:V48),0),ROUND(AVERAGE(R48:V48),1))</f>
        <v>#DIV/0!</v>
      </c>
      <c r="S49" s="3227"/>
      <c r="T49" s="3227"/>
      <c r="U49" s="3227"/>
      <c r="V49" s="3227"/>
      <c r="W49" s="322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6"/>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7"/>
      <c r="Q57" s="2668"/>
      <c r="R57" s="759"/>
      <c r="S57" s="759"/>
      <c r="T57" s="759"/>
      <c r="U57" s="759"/>
      <c r="V57" s="759"/>
      <c r="W57" s="759"/>
      <c r="X57" s="759"/>
      <c r="Y57" s="759"/>
      <c r="Z57" s="759"/>
      <c r="AA57" s="759"/>
      <c r="AB57" s="759"/>
      <c r="AC57" s="759"/>
    </row>
    <row r="58" spans="1:29" s="508" customFormat="1" ht="15">
      <c r="A58" s="505" t="s">
        <v>2504</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2541</v>
      </c>
      <c r="B60" s="516"/>
      <c r="C60" s="517"/>
      <c r="D60" s="518"/>
      <c r="E60" s="518"/>
      <c r="F60" s="518"/>
      <c r="G60" s="518"/>
      <c r="H60" s="518"/>
      <c r="I60" s="518"/>
      <c r="J60" s="518"/>
      <c r="K60" s="518"/>
      <c r="L60" s="518"/>
      <c r="M60" s="519"/>
      <c r="N60" s="518"/>
      <c r="O60" s="519"/>
      <c r="P60" s="2628"/>
      <c r="Q60" s="504"/>
    </row>
    <row r="61" spans="1:29" s="117" customFormat="1" ht="15">
      <c r="A61" s="521" t="s">
        <v>2506</v>
      </c>
      <c r="B61" s="510"/>
      <c r="C61" s="522" t="s">
        <v>2608</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2544</v>
      </c>
      <c r="B63" s="528" t="s">
        <v>2510</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30"/>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30"/>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2636</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2519</v>
      </c>
      <c r="B100" s="528" t="s">
        <v>2637</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2570</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2572</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1966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2638</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2639</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2640</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2576</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9" t="s">
        <v>2642</v>
      </c>
      <c r="C1" s="1622" t="s">
        <v>2486</v>
      </c>
      <c r="D1" s="1623"/>
      <c r="E1" s="1632"/>
      <c r="F1" s="2584"/>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IF(C2="——",ROUND(C50*D3/10000,0),ROUND(C50*D3/10000,0)-D2)</f>
        <v>#DIV/0!</v>
      </c>
      <c r="C2" s="2586"/>
      <c r="D2" s="1367" t="e">
        <f ca="1">SUMIF(INDIRECT("'"&amp;F2&amp;"'"&amp;"!A:A"),"承租人权益价值",INDIRECT("'"&amp;F2&amp;"'"&amp;"!c:c"))</f>
        <v>#REF!</v>
      </c>
      <c r="E2" s="2587" t="s">
        <v>2284</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2600</v>
      </c>
      <c r="D3" s="399">
        <f>IF(D1="",'数据-汇总表'!E3,SUMIF('数据-汇总表'!$C19:$C33,D1,'数据-汇总表'!$E19:$E33))</f>
        <v>45029.380000000005</v>
      </c>
      <c r="E3" s="2663"/>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241" t="s">
        <v>2607</v>
      </c>
      <c r="Q4" s="3242"/>
      <c r="R4" s="3236" t="s">
        <v>2603</v>
      </c>
      <c r="S4" s="3237"/>
      <c r="T4" s="3236" t="s">
        <v>2604</v>
      </c>
      <c r="U4" s="3237"/>
      <c r="V4" s="3245" t="s">
        <v>2605</v>
      </c>
      <c r="W4" s="3245"/>
      <c r="X4" s="2670"/>
      <c r="Y4" s="3236" t="s">
        <v>2607</v>
      </c>
      <c r="Z4" s="3237"/>
      <c r="AA4" s="3235" t="s">
        <v>2603</v>
      </c>
      <c r="AB4" s="3235" t="s">
        <v>2604</v>
      </c>
      <c r="AC4" s="3238" t="s">
        <v>2605</v>
      </c>
    </row>
    <row r="5" spans="1:29" ht="15">
      <c r="A5" s="404"/>
      <c r="B5" s="405"/>
      <c r="C5" s="3183" t="s">
        <v>2498</v>
      </c>
      <c r="D5" s="3184"/>
      <c r="E5" s="3172" t="s">
        <v>2499</v>
      </c>
      <c r="F5" s="3173"/>
      <c r="G5" s="3183" t="s">
        <v>2500</v>
      </c>
      <c r="H5" s="3184"/>
      <c r="I5" s="3183" t="s">
        <v>2501</v>
      </c>
      <c r="J5" s="3184"/>
      <c r="K5" s="610"/>
      <c r="L5" s="1132"/>
      <c r="M5" s="1133"/>
      <c r="N5" s="1133"/>
      <c r="O5" s="1133"/>
      <c r="P5" s="3243"/>
      <c r="Q5" s="3169"/>
      <c r="R5" s="3181"/>
      <c r="S5" s="3182"/>
      <c r="T5" s="3181"/>
      <c r="U5" s="3182"/>
      <c r="V5" s="3154"/>
      <c r="W5" s="3154"/>
      <c r="X5" s="1815"/>
      <c r="Y5" s="3181"/>
      <c r="Z5" s="3182"/>
      <c r="AA5" s="3160"/>
      <c r="AB5" s="3160"/>
      <c r="AC5" s="3239"/>
    </row>
    <row r="6" spans="1:29" ht="15.75" thickBot="1">
      <c r="A6" s="406"/>
      <c r="B6" s="407"/>
      <c r="C6" s="3223" t="s">
        <v>2502</v>
      </c>
      <c r="D6" s="3224"/>
      <c r="E6" s="3225" t="s">
        <v>2502</v>
      </c>
      <c r="F6" s="3226"/>
      <c r="G6" s="3223" t="s">
        <v>2502</v>
      </c>
      <c r="H6" s="3224"/>
      <c r="I6" s="3223" t="s">
        <v>2502</v>
      </c>
      <c r="J6" s="3224"/>
      <c r="K6" s="610" t="s">
        <v>2503</v>
      </c>
      <c r="L6" s="1132"/>
      <c r="M6" s="1133"/>
      <c r="N6" s="1133"/>
      <c r="O6" s="1133"/>
      <c r="P6" s="3244"/>
      <c r="Q6" s="3171"/>
      <c r="R6" s="3181"/>
      <c r="S6" s="3182"/>
      <c r="T6" s="3191"/>
      <c r="U6" s="3192"/>
      <c r="V6" s="3154"/>
      <c r="W6" s="3154"/>
      <c r="X6" s="1815"/>
      <c r="Y6" s="3191"/>
      <c r="Z6" s="3192"/>
      <c r="AA6" s="3161"/>
      <c r="AB6" s="3161"/>
      <c r="AC6" s="3240"/>
    </row>
    <row r="7" spans="1:29" s="117" customFormat="1" ht="15.75" thickBot="1">
      <c r="A7" s="408" t="s">
        <v>2504</v>
      </c>
      <c r="B7" s="409"/>
      <c r="C7" s="410">
        <f>'数据-取费表'!B2</f>
        <v>43245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6" t="s">
        <v>2505</v>
      </c>
      <c r="Q7" s="3187"/>
      <c r="R7" s="770" t="s">
        <v>17</v>
      </c>
      <c r="S7" s="771">
        <f t="shared" ref="S7:S15" si="0">F7</f>
        <v>0</v>
      </c>
      <c r="T7" s="770" t="s">
        <v>17</v>
      </c>
      <c r="U7" s="771">
        <f t="shared" ref="U7:U15" si="1">H7</f>
        <v>0</v>
      </c>
      <c r="V7" s="770" t="s">
        <v>17</v>
      </c>
      <c r="W7" s="771">
        <f t="shared" ref="W7:W15" si="2">J7</f>
        <v>0</v>
      </c>
      <c r="X7" s="772"/>
      <c r="Y7" s="3174" t="s">
        <v>2505</v>
      </c>
      <c r="Z7" s="3175"/>
      <c r="AA7" s="773" t="e">
        <f>D7/F7</f>
        <v>#DIV/0!</v>
      </c>
      <c r="AB7" s="773" t="e">
        <f>D7/H7</f>
        <v>#DIV/0!</v>
      </c>
      <c r="AC7" s="2671"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6" t="s">
        <v>2508</v>
      </c>
      <c r="Q8" s="3175"/>
      <c r="R8" s="770" t="s">
        <v>17</v>
      </c>
      <c r="S8" s="771">
        <f t="shared" si="0"/>
        <v>0</v>
      </c>
      <c r="T8" s="770" t="s">
        <v>17</v>
      </c>
      <c r="U8" s="771">
        <f t="shared" si="1"/>
        <v>0</v>
      </c>
      <c r="V8" s="770" t="s">
        <v>17</v>
      </c>
      <c r="W8" s="771">
        <f t="shared" si="2"/>
        <v>0</v>
      </c>
      <c r="X8" s="772"/>
      <c r="Y8" s="3174" t="s">
        <v>2508</v>
      </c>
      <c r="Z8" s="3175"/>
      <c r="AA8" s="773" t="e">
        <f t="shared" ref="AA8:AA47" si="3">D8/F8</f>
        <v>#DIV/0!</v>
      </c>
      <c r="AB8" s="773" t="e">
        <f t="shared" ref="AB8:AB47" si="4">D8/H8</f>
        <v>#DIV/0!</v>
      </c>
      <c r="AC8" s="2671"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7"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2671">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7"/>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1">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7"/>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77"/>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77"/>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77"/>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1">
        <f t="shared" si="5"/>
        <v>1</v>
      </c>
    </row>
    <row r="15" spans="1:29" ht="71.25">
      <c r="A15" s="440" t="s">
        <v>2515</v>
      </c>
      <c r="B15" s="629" t="s">
        <v>2643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3" t="s">
        <v>2516</v>
      </c>
      <c r="Q15" s="1812" t="str">
        <f t="shared" si="6"/>
        <v>办公集聚程度</v>
      </c>
      <c r="R15" s="774" t="s">
        <v>17</v>
      </c>
      <c r="S15" s="775">
        <f t="shared" si="0"/>
        <v>100</v>
      </c>
      <c r="T15" s="774" t="s">
        <v>17</v>
      </c>
      <c r="U15" s="775">
        <f t="shared" si="1"/>
        <v>100</v>
      </c>
      <c r="V15" s="774" t="s">
        <v>17</v>
      </c>
      <c r="W15" s="775">
        <f t="shared" si="2"/>
        <v>100</v>
      </c>
      <c r="X15" s="1815"/>
      <c r="Y15" s="3155" t="s">
        <v>2516</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234"/>
      <c r="Q16" s="1812"/>
      <c r="R16" s="774"/>
      <c r="S16" s="775"/>
      <c r="T16" s="774"/>
      <c r="U16" s="775"/>
      <c r="V16" s="774"/>
      <c r="W16" s="775"/>
      <c r="X16" s="1815"/>
      <c r="Y16" s="3156"/>
      <c r="Z16" s="1816"/>
      <c r="AA16" s="1813">
        <v>1</v>
      </c>
      <c r="AB16" s="1813">
        <v>1</v>
      </c>
      <c r="AC16" s="2674">
        <v>1</v>
      </c>
    </row>
    <row r="17" spans="1:29" ht="71.25">
      <c r="A17" s="428"/>
      <c r="B17" s="631" t="s">
        <v>2057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4"/>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234"/>
      <c r="Q18" s="1812"/>
      <c r="R18" s="774"/>
      <c r="S18" s="775"/>
      <c r="T18" s="774"/>
      <c r="U18" s="775"/>
      <c r="V18" s="774"/>
      <c r="W18" s="775"/>
      <c r="X18" s="1815"/>
      <c r="Y18" s="3156"/>
      <c r="Z18" s="1816"/>
      <c r="AA18" s="1813">
        <v>1</v>
      </c>
      <c r="AB18" s="1813">
        <v>1</v>
      </c>
      <c r="AC18" s="2674">
        <v>1</v>
      </c>
    </row>
    <row r="19" spans="1:29" ht="42.75">
      <c r="A19" s="428"/>
      <c r="B19" s="631" t="s">
        <v>2644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4"/>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234"/>
      <c r="Q20" s="1812"/>
      <c r="R20" s="774"/>
      <c r="S20" s="775"/>
      <c r="T20" s="774"/>
      <c r="U20" s="775"/>
      <c r="V20" s="774"/>
      <c r="W20" s="775"/>
      <c r="X20" s="1815"/>
      <c r="Y20" s="3156"/>
      <c r="Z20" s="1816"/>
      <c r="AA20" s="1813">
        <v>1</v>
      </c>
      <c r="AB20" s="1813">
        <v>1</v>
      </c>
      <c r="AC20" s="2674">
        <v>1</v>
      </c>
    </row>
    <row r="21" spans="1:29" ht="28.5">
      <c r="A21" s="428"/>
      <c r="B21" s="633" t="s">
        <v>2645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4"/>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234"/>
      <c r="Q22" s="1812"/>
      <c r="R22" s="774"/>
      <c r="S22" s="775"/>
      <c r="T22" s="774"/>
      <c r="U22" s="775"/>
      <c r="V22" s="774"/>
      <c r="W22" s="775"/>
      <c r="X22" s="1815"/>
      <c r="Y22" s="3156"/>
      <c r="Z22" s="1816"/>
      <c r="AA22" s="1813">
        <v>1</v>
      </c>
      <c r="AB22" s="1813">
        <v>1</v>
      </c>
      <c r="AC22" s="2674">
        <v>1</v>
      </c>
    </row>
    <row r="23" spans="1:29" ht="42.75">
      <c r="A23" s="428"/>
      <c r="B23" s="631" t="s">
        <v>2646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4"/>
      <c r="Q23" s="1812" t="str">
        <f>B23</f>
        <v>环境质量</v>
      </c>
      <c r="R23" s="774" t="s">
        <v>17</v>
      </c>
      <c r="S23" s="775">
        <f>F23</f>
        <v>100</v>
      </c>
      <c r="T23" s="774" t="s">
        <v>17</v>
      </c>
      <c r="U23" s="775">
        <f>H23</f>
        <v>100</v>
      </c>
      <c r="V23" s="774" t="s">
        <v>17</v>
      </c>
      <c r="W23" s="775">
        <f>J23</f>
        <v>100</v>
      </c>
      <c r="X23" s="1815"/>
      <c r="Y23" s="3156"/>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234"/>
      <c r="Q24" s="1812"/>
      <c r="R24" s="774"/>
      <c r="S24" s="775"/>
      <c r="T24" s="774"/>
      <c r="U24" s="775"/>
      <c r="V24" s="774"/>
      <c r="W24" s="775"/>
      <c r="X24" s="1815"/>
      <c r="Y24" s="3156"/>
      <c r="Z24" s="1816"/>
      <c r="AA24" s="1813">
        <v>1</v>
      </c>
      <c r="AB24" s="1813">
        <v>1</v>
      </c>
      <c r="AC24" s="2674">
        <v>1</v>
      </c>
    </row>
    <row r="25" spans="1:29" ht="27">
      <c r="A25" s="404"/>
      <c r="B25" s="631" t="s">
        <v>2647</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34"/>
      <c r="Q25" s="1812" t="str">
        <f>B25</f>
        <v>毗邻道路的类型与等级</v>
      </c>
      <c r="R25" s="774" t="s">
        <v>17</v>
      </c>
      <c r="S25" s="775">
        <f>F25</f>
        <v>100</v>
      </c>
      <c r="T25" s="774" t="s">
        <v>17</v>
      </c>
      <c r="U25" s="775">
        <f>H25</f>
        <v>100</v>
      </c>
      <c r="V25" s="774" t="s">
        <v>17</v>
      </c>
      <c r="W25" s="775">
        <f>J25</f>
        <v>100</v>
      </c>
      <c r="X25" s="1815"/>
      <c r="Y25" s="3156"/>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234"/>
      <c r="Q26" s="1812"/>
      <c r="R26" s="774"/>
      <c r="S26" s="775"/>
      <c r="T26" s="774"/>
      <c r="U26" s="775"/>
      <c r="V26" s="774"/>
      <c r="W26" s="775"/>
      <c r="X26" s="1815"/>
      <c r="Y26" s="3156"/>
      <c r="Z26" s="1816"/>
      <c r="AA26" s="1813">
        <v>1</v>
      </c>
      <c r="AB26" s="1813">
        <v>1</v>
      </c>
      <c r="AC26" s="2674">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4"/>
      <c r="Q27" s="1812" t="str">
        <f t="shared" ref="Q27:Q47" si="11">B27</f>
        <v>楼层</v>
      </c>
      <c r="R27" s="774" t="s">
        <v>17</v>
      </c>
      <c r="S27" s="775">
        <f>F27</f>
        <v>100</v>
      </c>
      <c r="T27" s="774" t="s">
        <v>17</v>
      </c>
      <c r="U27" s="775">
        <f>H27</f>
        <v>100</v>
      </c>
      <c r="V27" s="774" t="s">
        <v>17</v>
      </c>
      <c r="W27" s="775">
        <f>J27</f>
        <v>100</v>
      </c>
      <c r="X27" s="1815"/>
      <c r="Y27" s="3156"/>
      <c r="Z27" s="1816" t="str">
        <f>Q27</f>
        <v>楼层</v>
      </c>
      <c r="AA27" s="1813">
        <f t="shared" si="3"/>
        <v>1</v>
      </c>
      <c r="AB27" s="1813">
        <f t="shared" si="4"/>
        <v>1</v>
      </c>
      <c r="AC27" s="2674">
        <f t="shared" si="5"/>
        <v>1</v>
      </c>
    </row>
    <row r="28" spans="1:29" s="117" customFormat="1" ht="15">
      <c r="A28" s="431"/>
      <c r="B28" s="631" t="s">
        <v>2648</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34"/>
      <c r="Q28" s="1797" t="str">
        <f t="shared" si="11"/>
        <v>朝向</v>
      </c>
      <c r="R28" s="770" t="s">
        <v>17</v>
      </c>
      <c r="S28" s="771">
        <f>F28</f>
        <v>100</v>
      </c>
      <c r="T28" s="770" t="s">
        <v>17</v>
      </c>
      <c r="U28" s="771">
        <f>H28</f>
        <v>100</v>
      </c>
      <c r="V28" s="770" t="s">
        <v>17</v>
      </c>
      <c r="W28" s="771">
        <f>J28</f>
        <v>100</v>
      </c>
      <c r="X28" s="772"/>
      <c r="Y28" s="3156"/>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34"/>
      <c r="Q29" s="1812">
        <f t="shared" si="11"/>
        <v>111</v>
      </c>
      <c r="R29" s="774" t="s">
        <v>17</v>
      </c>
      <c r="S29" s="775">
        <f t="shared" ref="S29:S47" si="12">F29</f>
        <v>100</v>
      </c>
      <c r="T29" s="774" t="s">
        <v>17</v>
      </c>
      <c r="U29" s="775">
        <f t="shared" ref="U29:U47" si="13">H29</f>
        <v>100</v>
      </c>
      <c r="V29" s="774" t="s">
        <v>17</v>
      </c>
      <c r="W29" s="775">
        <f t="shared" ref="W29:W47" si="14">J29</f>
        <v>100</v>
      </c>
      <c r="X29" s="1815"/>
      <c r="Y29" s="3156"/>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34"/>
      <c r="Q30" s="1812">
        <f t="shared" si="11"/>
        <v>111</v>
      </c>
      <c r="R30" s="774" t="s">
        <v>17</v>
      </c>
      <c r="S30" s="775">
        <f t="shared" si="12"/>
        <v>100</v>
      </c>
      <c r="T30" s="774" t="s">
        <v>17</v>
      </c>
      <c r="U30" s="775">
        <f t="shared" si="13"/>
        <v>100</v>
      </c>
      <c r="V30" s="774" t="s">
        <v>17</v>
      </c>
      <c r="W30" s="775">
        <f t="shared" si="14"/>
        <v>100</v>
      </c>
      <c r="X30" s="1815"/>
      <c r="Y30" s="3156"/>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34"/>
      <c r="Q31" s="1812">
        <f t="shared" si="11"/>
        <v>111</v>
      </c>
      <c r="R31" s="774" t="s">
        <v>17</v>
      </c>
      <c r="S31" s="775">
        <f t="shared" si="12"/>
        <v>100</v>
      </c>
      <c r="T31" s="774" t="s">
        <v>17</v>
      </c>
      <c r="U31" s="775">
        <f t="shared" si="13"/>
        <v>100</v>
      </c>
      <c r="V31" s="774" t="s">
        <v>17</v>
      </c>
      <c r="W31" s="775">
        <f t="shared" si="14"/>
        <v>100</v>
      </c>
      <c r="X31" s="1815"/>
      <c r="Y31" s="3156"/>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34"/>
      <c r="Q32" s="1812">
        <f t="shared" si="11"/>
        <v>111</v>
      </c>
      <c r="R32" s="774" t="s">
        <v>17</v>
      </c>
      <c r="S32" s="775">
        <f t="shared" si="12"/>
        <v>100</v>
      </c>
      <c r="T32" s="774" t="s">
        <v>17</v>
      </c>
      <c r="U32" s="775">
        <f t="shared" si="13"/>
        <v>100</v>
      </c>
      <c r="V32" s="774" t="s">
        <v>17</v>
      </c>
      <c r="W32" s="775">
        <f t="shared" si="14"/>
        <v>100</v>
      </c>
      <c r="X32" s="1815"/>
      <c r="Y32" s="3156"/>
      <c r="Z32" s="1816">
        <f t="shared" si="15"/>
        <v>111</v>
      </c>
      <c r="AA32" s="1813">
        <f t="shared" si="3"/>
        <v>1</v>
      </c>
      <c r="AB32" s="1813">
        <f t="shared" si="4"/>
        <v>1</v>
      </c>
      <c r="AC32" s="2674">
        <f t="shared" si="5"/>
        <v>1</v>
      </c>
    </row>
    <row r="33" spans="1:29" ht="15">
      <c r="A33" s="440" t="s">
        <v>2519</v>
      </c>
      <c r="B33" s="71" t="s">
        <v>2649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29" t="s">
        <v>2521</v>
      </c>
      <c r="Q33" s="1812" t="str">
        <f t="shared" si="11"/>
        <v>建筑类型</v>
      </c>
      <c r="R33" s="774" t="s">
        <v>17</v>
      </c>
      <c r="S33" s="775">
        <f t="shared" si="12"/>
        <v>100</v>
      </c>
      <c r="T33" s="774" t="s">
        <v>17</v>
      </c>
      <c r="U33" s="775">
        <f t="shared" si="13"/>
        <v>100</v>
      </c>
      <c r="V33" s="774" t="s">
        <v>17</v>
      </c>
      <c r="W33" s="775">
        <f t="shared" si="14"/>
        <v>100</v>
      </c>
      <c r="X33" s="1815"/>
      <c r="Y33" s="3158" t="s">
        <v>2521</v>
      </c>
      <c r="Z33" s="1816" t="str">
        <f t="shared" si="15"/>
        <v>建筑类型</v>
      </c>
      <c r="AA33" s="1813">
        <f t="shared" si="3"/>
        <v>1</v>
      </c>
      <c r="AB33" s="1813">
        <f t="shared" si="4"/>
        <v>1</v>
      </c>
      <c r="AC33" s="2674">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6" t="str">
        <f t="shared" si="11"/>
        <v>项目建筑规模</v>
      </c>
      <c r="R34" s="777" t="s">
        <v>17</v>
      </c>
      <c r="S34" s="778" t="e">
        <f t="shared" si="12"/>
        <v>#N/A</v>
      </c>
      <c r="T34" s="777" t="s">
        <v>17</v>
      </c>
      <c r="U34" s="778" t="e">
        <f t="shared" si="13"/>
        <v>#N/A</v>
      </c>
      <c r="V34" s="777" t="s">
        <v>17</v>
      </c>
      <c r="W34" s="778" t="e">
        <f t="shared" si="14"/>
        <v>#N/A</v>
      </c>
      <c r="X34" s="779"/>
      <c r="Y34" s="3158"/>
      <c r="Z34" s="780" t="str">
        <f t="shared" si="15"/>
        <v>项目建筑规模</v>
      </c>
      <c r="AA34" s="1813" t="e">
        <f t="shared" si="3"/>
        <v>#N/A</v>
      </c>
      <c r="AB34" s="1813" t="e">
        <f t="shared" si="4"/>
        <v>#N/A</v>
      </c>
      <c r="AC34" s="2674"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2" t="str">
        <f t="shared" si="11"/>
        <v>建筑结构</v>
      </c>
      <c r="R35" s="774" t="s">
        <v>17</v>
      </c>
      <c r="S35" s="775">
        <f t="shared" si="12"/>
        <v>100</v>
      </c>
      <c r="T35" s="774" t="s">
        <v>17</v>
      </c>
      <c r="U35" s="775">
        <f t="shared" si="13"/>
        <v>100</v>
      </c>
      <c r="V35" s="774" t="s">
        <v>17</v>
      </c>
      <c r="W35" s="775">
        <f t="shared" si="14"/>
        <v>100</v>
      </c>
      <c r="X35" s="1815"/>
      <c r="Y35" s="3158"/>
      <c r="Z35" s="1816" t="str">
        <f t="shared" si="15"/>
        <v>建筑结构</v>
      </c>
      <c r="AA35" s="1813">
        <f t="shared" si="3"/>
        <v>1</v>
      </c>
      <c r="AB35" s="1813">
        <f t="shared" si="4"/>
        <v>1</v>
      </c>
      <c r="AC35" s="2674">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2" t="str">
        <f t="shared" si="11"/>
        <v>公共部分装修</v>
      </c>
      <c r="R36" s="774" t="s">
        <v>17</v>
      </c>
      <c r="S36" s="775">
        <f t="shared" si="12"/>
        <v>100</v>
      </c>
      <c r="T36" s="774" t="s">
        <v>17</v>
      </c>
      <c r="U36" s="775">
        <f t="shared" si="13"/>
        <v>100</v>
      </c>
      <c r="V36" s="774" t="s">
        <v>17</v>
      </c>
      <c r="W36" s="775">
        <f t="shared" si="14"/>
        <v>100</v>
      </c>
      <c r="X36" s="1815"/>
      <c r="Y36" s="3158"/>
      <c r="Z36" s="1816" t="str">
        <f t="shared" si="15"/>
        <v>公共部分装修</v>
      </c>
      <c r="AA36" s="1813">
        <f t="shared" si="3"/>
        <v>1</v>
      </c>
      <c r="AB36" s="1813">
        <f t="shared" si="4"/>
        <v>1</v>
      </c>
      <c r="AC36" s="2674">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2" t="str">
        <f t="shared" si="11"/>
        <v>成新度</v>
      </c>
      <c r="R37" s="774" t="s">
        <v>17</v>
      </c>
      <c r="S37" s="775" t="e">
        <f t="shared" si="12"/>
        <v>#N/A</v>
      </c>
      <c r="T37" s="774" t="s">
        <v>17</v>
      </c>
      <c r="U37" s="775" t="e">
        <f t="shared" si="13"/>
        <v>#N/A</v>
      </c>
      <c r="V37" s="774" t="s">
        <v>17</v>
      </c>
      <c r="W37" s="775" t="e">
        <f t="shared" si="14"/>
        <v>#N/A</v>
      </c>
      <c r="X37" s="1815"/>
      <c r="Y37" s="3158"/>
      <c r="Z37" s="1816" t="str">
        <f t="shared" si="15"/>
        <v>成新度</v>
      </c>
      <c r="AA37" s="1813" t="e">
        <f t="shared" si="3"/>
        <v>#N/A</v>
      </c>
      <c r="AB37" s="1813" t="e">
        <f t="shared" si="4"/>
        <v>#N/A</v>
      </c>
      <c r="AC37" s="2674"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7"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1">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2521</v>
      </c>
      <c r="Q39" s="1812" t="str">
        <f t="shared" si="11"/>
        <v>物业管理</v>
      </c>
      <c r="R39" s="774" t="s">
        <v>17</v>
      </c>
      <c r="S39" s="775">
        <f t="shared" si="12"/>
        <v>100</v>
      </c>
      <c r="T39" s="774" t="s">
        <v>17</v>
      </c>
      <c r="U39" s="775">
        <f t="shared" si="13"/>
        <v>100</v>
      </c>
      <c r="V39" s="774" t="s">
        <v>17</v>
      </c>
      <c r="W39" s="775">
        <f t="shared" si="14"/>
        <v>100</v>
      </c>
      <c r="X39" s="1815"/>
      <c r="Y39" s="3158" t="s">
        <v>2521</v>
      </c>
      <c r="Z39" s="1816" t="str">
        <f t="shared" si="15"/>
        <v>物业管理</v>
      </c>
      <c r="AA39" s="1813">
        <f t="shared" si="3"/>
        <v>1</v>
      </c>
      <c r="AB39" s="1813">
        <f t="shared" si="4"/>
        <v>1</v>
      </c>
      <c r="AC39" s="2674">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2" t="str">
        <f t="shared" si="11"/>
        <v>市政基础设施</v>
      </c>
      <c r="R40" s="774" t="s">
        <v>17</v>
      </c>
      <c r="S40" s="775">
        <f t="shared" si="12"/>
        <v>100</v>
      </c>
      <c r="T40" s="774" t="s">
        <v>17</v>
      </c>
      <c r="U40" s="775">
        <f t="shared" si="13"/>
        <v>100</v>
      </c>
      <c r="V40" s="774" t="s">
        <v>17</v>
      </c>
      <c r="W40" s="775">
        <f t="shared" si="14"/>
        <v>100</v>
      </c>
      <c r="X40" s="1815"/>
      <c r="Y40" s="3158"/>
      <c r="Z40" s="1816" t="str">
        <f t="shared" si="15"/>
        <v>市政基础设施</v>
      </c>
      <c r="AA40" s="1813">
        <f t="shared" si="3"/>
        <v>1</v>
      </c>
      <c r="AB40" s="1813">
        <f t="shared" si="4"/>
        <v>1</v>
      </c>
      <c r="AC40" s="2674">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2" t="str">
        <f t="shared" si="11"/>
        <v>层高</v>
      </c>
      <c r="R41" s="774" t="s">
        <v>17</v>
      </c>
      <c r="S41" s="775">
        <f t="shared" si="12"/>
        <v>100</v>
      </c>
      <c r="T41" s="774" t="s">
        <v>17</v>
      </c>
      <c r="U41" s="775">
        <f t="shared" si="13"/>
        <v>100</v>
      </c>
      <c r="V41" s="774" t="s">
        <v>17</v>
      </c>
      <c r="W41" s="775">
        <f t="shared" si="14"/>
        <v>100</v>
      </c>
      <c r="X41" s="1815"/>
      <c r="Y41" s="3158"/>
      <c r="Z41" s="1816" t="str">
        <f t="shared" si="15"/>
        <v>层高</v>
      </c>
      <c r="AA41" s="1813">
        <f t="shared" si="3"/>
        <v>1</v>
      </c>
      <c r="AB41" s="1813">
        <f t="shared" si="4"/>
        <v>1</v>
      </c>
      <c r="AC41" s="2674">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3">
        <f t="shared" si="3"/>
        <v>1</v>
      </c>
      <c r="AB42" s="1813">
        <f t="shared" si="4"/>
        <v>1</v>
      </c>
      <c r="AC42" s="2674">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2" t="str">
        <f t="shared" si="11"/>
        <v>内部装修</v>
      </c>
      <c r="R43" s="774" t="s">
        <v>17</v>
      </c>
      <c r="S43" s="775">
        <f t="shared" si="12"/>
        <v>100</v>
      </c>
      <c r="T43" s="774" t="s">
        <v>17</v>
      </c>
      <c r="U43" s="775">
        <f t="shared" si="13"/>
        <v>100</v>
      </c>
      <c r="V43" s="774" t="s">
        <v>17</v>
      </c>
      <c r="W43" s="775">
        <f t="shared" si="14"/>
        <v>100</v>
      </c>
      <c r="X43" s="1815"/>
      <c r="Y43" s="3158"/>
      <c r="Z43" s="1816" t="str">
        <f t="shared" si="15"/>
        <v>内部装修</v>
      </c>
      <c r="AA43" s="1813">
        <f t="shared" si="3"/>
        <v>1</v>
      </c>
      <c r="AB43" s="1813">
        <f t="shared" si="4"/>
        <v>1</v>
      </c>
      <c r="AC43" s="2674">
        <f t="shared" si="5"/>
        <v>1</v>
      </c>
    </row>
    <row r="44" spans="1:29" ht="15">
      <c r="A44" s="472"/>
      <c r="B44" s="422" t="s">
        <v>2532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30"/>
      <c r="Q44" s="1812" t="str">
        <f t="shared" si="11"/>
        <v>内部装修维护情况</v>
      </c>
      <c r="R44" s="774" t="s">
        <v>17</v>
      </c>
      <c r="S44" s="775">
        <f t="shared" si="12"/>
        <v>100</v>
      </c>
      <c r="T44" s="774" t="s">
        <v>17</v>
      </c>
      <c r="U44" s="775">
        <f t="shared" si="13"/>
        <v>100</v>
      </c>
      <c r="V44" s="774" t="s">
        <v>17</v>
      </c>
      <c r="W44" s="775">
        <f t="shared" si="14"/>
        <v>100</v>
      </c>
      <c r="X44" s="1815"/>
      <c r="Y44" s="315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7">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2">
        <f t="shared" si="11"/>
        <v>111</v>
      </c>
      <c r="R46" s="774" t="s">
        <v>17</v>
      </c>
      <c r="S46" s="775">
        <f t="shared" si="12"/>
        <v>100</v>
      </c>
      <c r="T46" s="774" t="s">
        <v>17</v>
      </c>
      <c r="U46" s="775">
        <f t="shared" si="13"/>
        <v>100</v>
      </c>
      <c r="V46" s="774" t="s">
        <v>17</v>
      </c>
      <c r="W46" s="775">
        <f t="shared" si="14"/>
        <v>100</v>
      </c>
      <c r="X46" s="1815"/>
      <c r="Y46" s="315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2">
        <f t="shared" si="11"/>
        <v>111</v>
      </c>
      <c r="R47" s="774" t="s">
        <v>17</v>
      </c>
      <c r="S47" s="775">
        <f t="shared" si="12"/>
        <v>100</v>
      </c>
      <c r="T47" s="774" t="s">
        <v>17</v>
      </c>
      <c r="U47" s="775">
        <f t="shared" si="13"/>
        <v>100</v>
      </c>
      <c r="V47" s="774" t="s">
        <v>17</v>
      </c>
      <c r="W47" s="775">
        <f t="shared" si="14"/>
        <v>100</v>
      </c>
      <c r="X47" s="1815"/>
      <c r="Y47" s="3232"/>
      <c r="Z47" s="1816">
        <f t="shared" si="15"/>
        <v>111</v>
      </c>
      <c r="AA47" s="1813">
        <f t="shared" si="3"/>
        <v>1</v>
      </c>
      <c r="AB47" s="1813">
        <f t="shared" si="4"/>
        <v>1</v>
      </c>
      <c r="AC47" s="2674">
        <f t="shared" si="5"/>
        <v>1</v>
      </c>
    </row>
    <row r="48" spans="1:29" ht="15">
      <c r="A48" s="479" t="s">
        <v>2533</v>
      </c>
      <c r="B48" s="480"/>
      <c r="C48" s="1409" t="s">
        <v>1</v>
      </c>
      <c r="D48" s="1410"/>
      <c r="E48" s="1411"/>
      <c r="F48" s="1412"/>
      <c r="G48" s="1413"/>
      <c r="H48" s="1414"/>
      <c r="I48" s="1411"/>
      <c r="J48" s="485"/>
      <c r="K48" s="783"/>
      <c r="L48" s="1145"/>
      <c r="M48" s="1133"/>
      <c r="N48" s="1133"/>
      <c r="O48" s="1133"/>
      <c r="P48" s="3177" t="str">
        <f>A48</f>
        <v>成交单价（元/平方米）</v>
      </c>
      <c r="Q48" s="3152"/>
      <c r="R48" s="3228">
        <f>E48</f>
        <v>0</v>
      </c>
      <c r="S48" s="3228"/>
      <c r="T48" s="3228">
        <f>G48</f>
        <v>0</v>
      </c>
      <c r="U48" s="3228"/>
      <c r="V48" s="3228">
        <f>I48</f>
        <v>0</v>
      </c>
      <c r="W48" s="3228"/>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177" t="str">
        <f>A49</f>
        <v>比较价值（元/平方米）</v>
      </c>
      <c r="Q49" s="3152"/>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247" t="str">
        <f>A50</f>
        <v>估价对象XX用房的比较价值（楼面单价，元/平方米）</v>
      </c>
      <c r="Q50" s="3248"/>
      <c r="R50" s="3249" t="e">
        <f>IF(F1="售价",ROUND(AVERAGE(R49:V49),0),ROUND(AVERAGE(R49:V49),1))</f>
        <v>#DIV/0!</v>
      </c>
      <c r="S50" s="3249"/>
      <c r="T50" s="3249"/>
      <c r="U50" s="3249"/>
      <c r="V50" s="3249"/>
      <c r="W50" s="324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81"/>
      <c r="Q58" s="504"/>
    </row>
    <row r="59" spans="1:29" s="508" customFormat="1" ht="15">
      <c r="A59" s="505" t="s">
        <v>2504</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2541</v>
      </c>
      <c r="B61" s="516"/>
      <c r="C61" s="517"/>
      <c r="D61" s="518"/>
      <c r="E61" s="518"/>
      <c r="F61" s="518"/>
      <c r="G61" s="518"/>
      <c r="H61" s="518"/>
      <c r="I61" s="518"/>
      <c r="J61" s="518"/>
      <c r="K61" s="518"/>
      <c r="L61" s="518"/>
      <c r="M61" s="519"/>
      <c r="N61" s="518"/>
      <c r="O61" s="519"/>
      <c r="P61" s="2682"/>
      <c r="Q61" s="504"/>
    </row>
    <row r="62" spans="1:29" s="117" customFormat="1" ht="15">
      <c r="A62" s="521" t="s">
        <v>2506</v>
      </c>
      <c r="B62" s="510"/>
      <c r="C62" s="522" t="s">
        <v>2608</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2544</v>
      </c>
      <c r="B64" s="528" t="s">
        <v>2510</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4"/>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2655</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2519</v>
      </c>
      <c r="B101" s="528" t="s">
        <v>2568</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2570</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2572</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1966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2573</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2574</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2657</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2576</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北京联东金泰投资有限公司：</v>
      </c>
    </row>
    <row r="4" spans="1:1" ht="36">
      <c r="A4" s="1950" t="str">
        <f>"受贵公司委托，我公司对"&amp;项目基本情况!S1&amp;"进行了预评估。"</f>
        <v>受贵公司委托，我公司对河北省廊坊市廊坊开发区华祥路东侧、耀华道北侧工业用房房地产抵押价值进行了预评估。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廊坊开发区华祥路东侧、耀华道北侧工业用房房地产，为北京联东金泰投资有限公司所有。根据《不动产权证书》[冀（2017）廊坊开发区不动产权第0017278号]，估价对象（分摊）出让国有建设用地使用权面积为62946.5平方米，建筑面积为45029.38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廊坊开发区华祥路东侧、耀华道北侧工业用房房地产,属北京联东金泰投资有限公司开发建设的工业项目，该项目尚在开发建设中。根据《不动产权证书》[冀（2017）廊坊开发区不动产权第0017278号]，估价对象（分摊）出让国有建设用地使用权面积为62946.5平方米，规划建筑面积为45029.38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为估价委托人在向中国光大银行股份有限公司北京分行办理贷款手续过程中，确定房地产抵押贷款额度提供参考依据而评估房地产抵押价值。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2018年5月25日（评估专业人员实地查勘之日）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25日，估价对象规划用途为厂房、仓库、办公，土地取得方式为出让，出让国有建设用地使用权剩余土地使用年限为工业用房39.09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仓库、办公，实际开发程度为宗地红线外“七通”（即通路、通电、通讯、通上水、通下水、通热、）、红线内场地平整条件下，剩余土地使用年限为工业用房39.09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9" t="s">
        <v>2658</v>
      </c>
      <c r="C1" s="1622" t="s">
        <v>2486</v>
      </c>
      <c r="D1" s="1623"/>
      <c r="E1" s="1632"/>
      <c r="F1" s="2584"/>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IF(C2="——",ROUND(C43*D3/10000,0),ROUND(C43*D3/10000,0)-D2)</f>
        <v>#DIV/0!</v>
      </c>
      <c r="C2" s="2586"/>
      <c r="D2" s="1126" t="e">
        <f ca="1">SUMIF(INDIRECT("'"&amp;F2&amp;"'"&amp;"!A:A"),"承租人权益价值",INDIRECT("'"&amp;F2&amp;"'"&amp;"!c:c"))</f>
        <v>#REF!</v>
      </c>
      <c r="E2" s="2587" t="s">
        <v>2284</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2600</v>
      </c>
      <c r="D3" s="399">
        <f>IF(D1="",'数据-汇总表'!E3,SUMIF('数据-汇总表'!$C19:$C33,D1,'数据-汇总表'!$E19:$E33))</f>
        <v>45029.380000000005</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60" t="s">
        <v>2604</v>
      </c>
      <c r="AC4" s="3159" t="s">
        <v>2605</v>
      </c>
    </row>
    <row r="5" spans="1:29" ht="15">
      <c r="A5" s="404"/>
      <c r="B5" s="405"/>
      <c r="C5" s="3183" t="s">
        <v>2498</v>
      </c>
      <c r="D5" s="3184"/>
      <c r="E5" s="3172" t="s">
        <v>2499</v>
      </c>
      <c r="F5" s="3173"/>
      <c r="G5" s="3183" t="s">
        <v>2500</v>
      </c>
      <c r="H5" s="3184"/>
      <c r="I5" s="3183" t="s">
        <v>2501</v>
      </c>
      <c r="J5" s="3184"/>
      <c r="K5" s="610"/>
      <c r="L5" s="1132"/>
      <c r="M5" s="1133"/>
      <c r="N5" s="1133"/>
      <c r="O5" s="1133"/>
      <c r="P5" s="3168"/>
      <c r="Q5" s="3169"/>
      <c r="R5" s="3181"/>
      <c r="S5" s="3182"/>
      <c r="T5" s="3181"/>
      <c r="U5" s="3182"/>
      <c r="V5" s="3154"/>
      <c r="W5" s="3154"/>
      <c r="X5" s="1815"/>
      <c r="Y5" s="3181"/>
      <c r="Z5" s="3182"/>
      <c r="AA5" s="3160"/>
      <c r="AB5" s="3160"/>
      <c r="AC5" s="3160"/>
    </row>
    <row r="6" spans="1:29" ht="15.75" thickBot="1">
      <c r="A6" s="406"/>
      <c r="B6" s="407"/>
      <c r="C6" s="3223" t="s">
        <v>2502</v>
      </c>
      <c r="D6" s="3224"/>
      <c r="E6" s="3225" t="s">
        <v>2502</v>
      </c>
      <c r="F6" s="3226"/>
      <c r="G6" s="3223" t="s">
        <v>2502</v>
      </c>
      <c r="H6" s="3224"/>
      <c r="I6" s="3223" t="s">
        <v>2502</v>
      </c>
      <c r="J6" s="3224"/>
      <c r="K6" s="610" t="s">
        <v>2503</v>
      </c>
      <c r="L6" s="1132"/>
      <c r="M6" s="1133"/>
      <c r="N6" s="1133"/>
      <c r="O6" s="1133"/>
      <c r="P6" s="3170"/>
      <c r="Q6" s="3171"/>
      <c r="R6" s="3181"/>
      <c r="S6" s="3182"/>
      <c r="T6" s="3191"/>
      <c r="U6" s="3192"/>
      <c r="V6" s="3154"/>
      <c r="W6" s="3154"/>
      <c r="X6" s="1815"/>
      <c r="Y6" s="3191"/>
      <c r="Z6" s="3192"/>
      <c r="AA6" s="3161"/>
      <c r="AB6" s="3161"/>
      <c r="AC6" s="3161"/>
    </row>
    <row r="7" spans="1:29" s="117" customFormat="1" ht="15.75" thickBot="1">
      <c r="A7" s="408" t="s">
        <v>2504</v>
      </c>
      <c r="B7" s="409"/>
      <c r="C7" s="410">
        <f>'数据-取费表'!B2</f>
        <v>43245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4" t="s">
        <v>2505</v>
      </c>
      <c r="Q7" s="3187"/>
      <c r="R7" s="770" t="s">
        <v>17</v>
      </c>
      <c r="S7" s="771">
        <f t="shared" ref="S7:S15" si="0">F7</f>
        <v>0</v>
      </c>
      <c r="T7" s="770" t="s">
        <v>17</v>
      </c>
      <c r="U7" s="771">
        <f t="shared" ref="U7:U15" si="1">H7</f>
        <v>0</v>
      </c>
      <c r="V7" s="770" t="s">
        <v>17</v>
      </c>
      <c r="W7" s="771">
        <f t="shared" ref="W7:W15" si="2">J7</f>
        <v>0</v>
      </c>
      <c r="X7" s="772"/>
      <c r="Y7" s="3174" t="s">
        <v>2505</v>
      </c>
      <c r="Z7" s="3175"/>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4" t="s">
        <v>2508</v>
      </c>
      <c r="Q8" s="3175"/>
      <c r="R8" s="770" t="s">
        <v>17</v>
      </c>
      <c r="S8" s="771">
        <f t="shared" si="0"/>
        <v>0</v>
      </c>
      <c r="T8" s="770" t="s">
        <v>17</v>
      </c>
      <c r="U8" s="771">
        <f t="shared" si="1"/>
        <v>0</v>
      </c>
      <c r="V8" s="770" t="s">
        <v>17</v>
      </c>
      <c r="W8" s="771">
        <f t="shared" si="2"/>
        <v>0</v>
      </c>
      <c r="X8" s="772"/>
      <c r="Y8" s="3174" t="s">
        <v>2508</v>
      </c>
      <c r="Z8" s="3175"/>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2"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2"/>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5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5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52"/>
      <c r="Q14" s="1797">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2515</v>
      </c>
      <c r="B15" s="69" t="s">
        <v>2659</v>
      </c>
      <c r="C15" s="2693" t="str">
        <f>估价对象房地状况!G3</f>
        <v>估价对象位廊坊开发区，周边工业建设较成熟，产业集聚程度较好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55" t="s">
        <v>2516</v>
      </c>
      <c r="Q15" s="1812" t="str">
        <f t="shared" si="6"/>
        <v>产业集聚程度</v>
      </c>
      <c r="R15" s="774" t="s">
        <v>17</v>
      </c>
      <c r="S15" s="775">
        <f t="shared" si="0"/>
        <v>100</v>
      </c>
      <c r="T15" s="774" t="s">
        <v>17</v>
      </c>
      <c r="U15" s="775">
        <f t="shared" si="1"/>
        <v>100</v>
      </c>
      <c r="V15" s="774" t="s">
        <v>17</v>
      </c>
      <c r="W15" s="775">
        <f t="shared" si="2"/>
        <v>100</v>
      </c>
      <c r="X15" s="1815"/>
      <c r="Y15" s="3155"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56"/>
      <c r="Q16" s="1812"/>
      <c r="R16" s="774"/>
      <c r="S16" s="775"/>
      <c r="T16" s="774"/>
      <c r="U16" s="775"/>
      <c r="V16" s="774"/>
      <c r="W16" s="775"/>
      <c r="X16" s="1815"/>
      <c r="Y16" s="3156"/>
      <c r="Z16" s="1816"/>
      <c r="AA16" s="1813">
        <v>1</v>
      </c>
      <c r="AB16" s="1813">
        <v>1</v>
      </c>
      <c r="AC16" s="1813">
        <v>1</v>
      </c>
    </row>
    <row r="17" spans="1:29" ht="99.75">
      <c r="A17" s="428"/>
      <c r="B17" s="451" t="s">
        <v>2057</v>
      </c>
      <c r="C17" s="2607" t="str">
        <f>估价对象房地状况!G4</f>
        <v>估价对象周边有16路、17路等多条公共路线、停车较便捷，东距城市主干道600米，综合评价交通便捷度较好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56"/>
      <c r="Q17" s="1812" t="str">
        <f>B17</f>
        <v>交通便捷度</v>
      </c>
      <c r="R17" s="774" t="s">
        <v>17</v>
      </c>
      <c r="S17" s="775">
        <f>F17</f>
        <v>100</v>
      </c>
      <c r="T17" s="774" t="s">
        <v>17</v>
      </c>
      <c r="U17" s="775">
        <f>H17</f>
        <v>100</v>
      </c>
      <c r="V17" s="774" t="s">
        <v>17</v>
      </c>
      <c r="W17" s="775">
        <f>J17</f>
        <v>100</v>
      </c>
      <c r="X17" s="1815"/>
      <c r="Y17" s="315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156"/>
      <c r="Q18" s="1812"/>
      <c r="R18" s="774"/>
      <c r="S18" s="775"/>
      <c r="T18" s="774"/>
      <c r="U18" s="775"/>
      <c r="V18" s="774"/>
      <c r="W18" s="775"/>
      <c r="X18" s="1815"/>
      <c r="Y18" s="3156"/>
      <c r="Z18" s="1816"/>
      <c r="AA18" s="1813">
        <v>1</v>
      </c>
      <c r="AB18" s="1813">
        <v>1</v>
      </c>
      <c r="AC18" s="1813">
        <v>1</v>
      </c>
    </row>
    <row r="19" spans="1:29" ht="42.75">
      <c r="A19" s="428"/>
      <c r="B19" s="451" t="s">
        <v>2644</v>
      </c>
      <c r="C19" s="2607"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56"/>
      <c r="Q19" s="1812" t="str">
        <f>B19</f>
        <v>公共配套设施</v>
      </c>
      <c r="R19" s="774" t="s">
        <v>17</v>
      </c>
      <c r="S19" s="775">
        <f>F19</f>
        <v>100</v>
      </c>
      <c r="T19" s="774" t="s">
        <v>17</v>
      </c>
      <c r="U19" s="775">
        <f>H19</f>
        <v>100</v>
      </c>
      <c r="V19" s="774" t="s">
        <v>17</v>
      </c>
      <c r="W19" s="775">
        <f>J19</f>
        <v>100</v>
      </c>
      <c r="X19" s="1815"/>
      <c r="Y19" s="315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156"/>
      <c r="Q20" s="1812"/>
      <c r="R20" s="774"/>
      <c r="S20" s="775"/>
      <c r="T20" s="774"/>
      <c r="U20" s="775"/>
      <c r="V20" s="774"/>
      <c r="W20" s="775"/>
      <c r="X20" s="1815"/>
      <c r="Y20" s="3156"/>
      <c r="Z20" s="1816"/>
      <c r="AA20" s="1813">
        <v>1</v>
      </c>
      <c r="AB20" s="1813">
        <v>1</v>
      </c>
      <c r="AC20" s="1813">
        <v>1</v>
      </c>
    </row>
    <row r="21" spans="1:29" ht="42.75">
      <c r="A21" s="428"/>
      <c r="B21" s="1386" t="s">
        <v>2645</v>
      </c>
      <c r="C21" s="2607"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56"/>
      <c r="Q21" s="1812" t="str">
        <f>B21</f>
        <v>基础设施水平</v>
      </c>
      <c r="R21" s="774" t="s">
        <v>17</v>
      </c>
      <c r="S21" s="775">
        <f>F21</f>
        <v>100</v>
      </c>
      <c r="T21" s="774" t="s">
        <v>17</v>
      </c>
      <c r="U21" s="775">
        <f>H21</f>
        <v>100</v>
      </c>
      <c r="V21" s="774" t="s">
        <v>17</v>
      </c>
      <c r="W21" s="775">
        <f>J21</f>
        <v>100</v>
      </c>
      <c r="X21" s="1815"/>
      <c r="Y21" s="3156"/>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156"/>
      <c r="Q22" s="1812"/>
      <c r="R22" s="774"/>
      <c r="S22" s="775"/>
      <c r="T22" s="774"/>
      <c r="U22" s="775"/>
      <c r="V22" s="774"/>
      <c r="W22" s="775"/>
      <c r="X22" s="1815"/>
      <c r="Y22" s="3156"/>
      <c r="Z22" s="1816"/>
      <c r="AA22" s="1813">
        <v>1</v>
      </c>
      <c r="AB22" s="1813">
        <v>1</v>
      </c>
      <c r="AC22" s="1813">
        <v>1</v>
      </c>
    </row>
    <row r="23" spans="1:29" ht="71.25">
      <c r="A23" s="428"/>
      <c r="B23" s="451" t="s">
        <v>2646</v>
      </c>
      <c r="C23" s="2607"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56"/>
      <c r="Q23" s="1812" t="str">
        <f>B23</f>
        <v>环境质量</v>
      </c>
      <c r="R23" s="774" t="s">
        <v>17</v>
      </c>
      <c r="S23" s="775">
        <f>F23</f>
        <v>100</v>
      </c>
      <c r="T23" s="774" t="s">
        <v>17</v>
      </c>
      <c r="U23" s="775">
        <f>H23</f>
        <v>100</v>
      </c>
      <c r="V23" s="774" t="s">
        <v>17</v>
      </c>
      <c r="W23" s="775">
        <f>J23</f>
        <v>100</v>
      </c>
      <c r="X23" s="1815"/>
      <c r="Y23" s="3156"/>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156"/>
      <c r="Q24" s="1812"/>
      <c r="R24" s="774"/>
      <c r="S24" s="775"/>
      <c r="T24" s="774"/>
      <c r="U24" s="775"/>
      <c r="V24" s="774"/>
      <c r="W24" s="775"/>
      <c r="X24" s="1815"/>
      <c r="Y24" s="315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56"/>
      <c r="Q25" s="1812">
        <f>B25</f>
        <v>111</v>
      </c>
      <c r="R25" s="774" t="s">
        <v>17</v>
      </c>
      <c r="S25" s="775">
        <f>F25</f>
        <v>100</v>
      </c>
      <c r="T25" s="774" t="s">
        <v>17</v>
      </c>
      <c r="U25" s="775">
        <f>H25</f>
        <v>100</v>
      </c>
      <c r="V25" s="774" t="s">
        <v>17</v>
      </c>
      <c r="W25" s="775">
        <f>J25</f>
        <v>100</v>
      </c>
      <c r="X25" s="1815"/>
      <c r="Y25" s="315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56"/>
      <c r="Q26" s="1812">
        <f t="shared" ref="Q26:Q40" si="11">B26</f>
        <v>111</v>
      </c>
      <c r="R26" s="774" t="s">
        <v>17</v>
      </c>
      <c r="S26" s="775">
        <f>F26</f>
        <v>100</v>
      </c>
      <c r="T26" s="774" t="s">
        <v>17</v>
      </c>
      <c r="U26" s="775">
        <f>H26</f>
        <v>100</v>
      </c>
      <c r="V26" s="774" t="s">
        <v>17</v>
      </c>
      <c r="W26" s="775">
        <f>J26</f>
        <v>100</v>
      </c>
      <c r="X26" s="1815"/>
      <c r="Y26" s="315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56"/>
      <c r="Q27" s="1797">
        <f t="shared" si="11"/>
        <v>111</v>
      </c>
      <c r="R27" s="770" t="s">
        <v>17</v>
      </c>
      <c r="S27" s="771">
        <f>F27</f>
        <v>100</v>
      </c>
      <c r="T27" s="770" t="s">
        <v>17</v>
      </c>
      <c r="U27" s="771">
        <f>H27</f>
        <v>100</v>
      </c>
      <c r="V27" s="770" t="s">
        <v>17</v>
      </c>
      <c r="W27" s="771">
        <f>J27</f>
        <v>100</v>
      </c>
      <c r="X27" s="772"/>
      <c r="Y27" s="315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56"/>
      <c r="Q28" s="1812">
        <f t="shared" si="11"/>
        <v>111</v>
      </c>
      <c r="R28" s="774" t="s">
        <v>17</v>
      </c>
      <c r="S28" s="775">
        <f t="shared" ref="S28:S40" si="12">F28</f>
        <v>100</v>
      </c>
      <c r="T28" s="774" t="s">
        <v>17</v>
      </c>
      <c r="U28" s="775">
        <f t="shared" ref="U28:U40" si="13">H28</f>
        <v>100</v>
      </c>
      <c r="V28" s="774" t="s">
        <v>17</v>
      </c>
      <c r="W28" s="775">
        <f t="shared" ref="W28:W40" si="14">J28</f>
        <v>100</v>
      </c>
      <c r="X28" s="1815"/>
      <c r="Y28" s="3156"/>
      <c r="Z28" s="1816">
        <f t="shared" ref="Z28:Z40" si="15">Q28</f>
        <v>111</v>
      </c>
      <c r="AA28" s="1813">
        <f t="shared" si="3"/>
        <v>1</v>
      </c>
      <c r="AB28" s="1813">
        <f t="shared" si="4"/>
        <v>1</v>
      </c>
      <c r="AC28" s="1813">
        <f t="shared" si="5"/>
        <v>1</v>
      </c>
    </row>
    <row r="29" spans="1:29" ht="15">
      <c r="A29" s="466" t="s">
        <v>2519</v>
      </c>
      <c r="B29" s="71" t="s">
        <v>2649</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157" t="s">
        <v>2521</v>
      </c>
      <c r="Q29" s="1812" t="str">
        <f t="shared" si="11"/>
        <v>建筑类型</v>
      </c>
      <c r="R29" s="774" t="s">
        <v>17</v>
      </c>
      <c r="S29" s="775">
        <f t="shared" si="12"/>
        <v>100</v>
      </c>
      <c r="T29" s="774" t="s">
        <v>17</v>
      </c>
      <c r="U29" s="775">
        <f t="shared" si="13"/>
        <v>100</v>
      </c>
      <c r="V29" s="774" t="s">
        <v>17</v>
      </c>
      <c r="W29" s="775">
        <f t="shared" si="14"/>
        <v>100</v>
      </c>
      <c r="X29" s="1815"/>
      <c r="Y29" s="3158"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58"/>
      <c r="Q31" s="1812" t="str">
        <f t="shared" si="11"/>
        <v>建筑结构</v>
      </c>
      <c r="R31" s="774" t="s">
        <v>17</v>
      </c>
      <c r="S31" s="775">
        <f t="shared" si="12"/>
        <v>100</v>
      </c>
      <c r="T31" s="774" t="s">
        <v>17</v>
      </c>
      <c r="U31" s="775">
        <f t="shared" si="13"/>
        <v>100</v>
      </c>
      <c r="V31" s="774" t="s">
        <v>17</v>
      </c>
      <c r="W31" s="775">
        <f t="shared" si="14"/>
        <v>100</v>
      </c>
      <c r="X31" s="1815"/>
      <c r="Y31" s="3158"/>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58"/>
      <c r="Q32" s="1812" t="str">
        <f t="shared" si="11"/>
        <v>公共部分装修</v>
      </c>
      <c r="R32" s="774" t="s">
        <v>17</v>
      </c>
      <c r="S32" s="775">
        <f t="shared" si="12"/>
        <v>100</v>
      </c>
      <c r="T32" s="774" t="s">
        <v>17</v>
      </c>
      <c r="U32" s="775">
        <f t="shared" si="13"/>
        <v>100</v>
      </c>
      <c r="V32" s="774" t="s">
        <v>17</v>
      </c>
      <c r="W32" s="775">
        <f t="shared" si="14"/>
        <v>100</v>
      </c>
      <c r="X32" s="1815"/>
      <c r="Y32" s="3158"/>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58"/>
      <c r="Q33" s="1812" t="str">
        <f t="shared" si="11"/>
        <v>成新度</v>
      </c>
      <c r="R33" s="774" t="s">
        <v>17</v>
      </c>
      <c r="S33" s="775" t="e">
        <f t="shared" si="12"/>
        <v>#N/A</v>
      </c>
      <c r="T33" s="774" t="s">
        <v>17</v>
      </c>
      <c r="U33" s="775" t="e">
        <f t="shared" si="13"/>
        <v>#N/A</v>
      </c>
      <c r="V33" s="774" t="s">
        <v>17</v>
      </c>
      <c r="W33" s="775" t="e">
        <f t="shared" si="14"/>
        <v>#N/A</v>
      </c>
      <c r="X33" s="1815"/>
      <c r="Y33" s="3158"/>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58"/>
      <c r="Q34" s="1797"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58" t="s">
        <v>2521</v>
      </c>
      <c r="Q35" s="1812" t="str">
        <f t="shared" si="11"/>
        <v>市政基础设施</v>
      </c>
      <c r="R35" s="774" t="s">
        <v>17</v>
      </c>
      <c r="S35" s="775">
        <f t="shared" si="12"/>
        <v>100</v>
      </c>
      <c r="T35" s="774" t="s">
        <v>17</v>
      </c>
      <c r="U35" s="775">
        <f t="shared" si="13"/>
        <v>100</v>
      </c>
      <c r="V35" s="774" t="s">
        <v>17</v>
      </c>
      <c r="W35" s="775">
        <f t="shared" si="14"/>
        <v>100</v>
      </c>
      <c r="X35" s="1815"/>
      <c r="Y35" s="3158"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58"/>
      <c r="Q36" s="1812" t="str">
        <f t="shared" si="11"/>
        <v>内部装修</v>
      </c>
      <c r="R36" s="774" t="s">
        <v>17</v>
      </c>
      <c r="S36" s="775">
        <f t="shared" si="12"/>
        <v>100</v>
      </c>
      <c r="T36" s="774" t="s">
        <v>17</v>
      </c>
      <c r="U36" s="775">
        <f t="shared" si="13"/>
        <v>100</v>
      </c>
      <c r="V36" s="774" t="s">
        <v>17</v>
      </c>
      <c r="W36" s="775">
        <f t="shared" si="14"/>
        <v>100</v>
      </c>
      <c r="X36" s="1815"/>
      <c r="Y36" s="3158"/>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58"/>
      <c r="Q37" s="1812" t="str">
        <f t="shared" si="11"/>
        <v>内部装修状况</v>
      </c>
      <c r="R37" s="774" t="s">
        <v>17</v>
      </c>
      <c r="S37" s="775">
        <f t="shared" si="12"/>
        <v>100</v>
      </c>
      <c r="T37" s="774" t="s">
        <v>17</v>
      </c>
      <c r="U37" s="775">
        <f t="shared" si="13"/>
        <v>100</v>
      </c>
      <c r="V37" s="774" t="s">
        <v>17</v>
      </c>
      <c r="W37" s="775">
        <f t="shared" si="14"/>
        <v>100</v>
      </c>
      <c r="X37" s="1815"/>
      <c r="Y37" s="315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58"/>
      <c r="Q39" s="1812">
        <f t="shared" si="11"/>
        <v>111</v>
      </c>
      <c r="R39" s="774" t="s">
        <v>17</v>
      </c>
      <c r="S39" s="775">
        <f t="shared" si="12"/>
        <v>100</v>
      </c>
      <c r="T39" s="774" t="s">
        <v>17</v>
      </c>
      <c r="U39" s="775">
        <f t="shared" si="13"/>
        <v>100</v>
      </c>
      <c r="V39" s="774" t="s">
        <v>17</v>
      </c>
      <c r="W39" s="775">
        <f t="shared" si="14"/>
        <v>100</v>
      </c>
      <c r="X39" s="1815"/>
      <c r="Y39" s="315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2"/>
      <c r="Q40" s="1812">
        <f t="shared" si="11"/>
        <v>111</v>
      </c>
      <c r="R40" s="774" t="s">
        <v>17</v>
      </c>
      <c r="S40" s="775">
        <f t="shared" si="12"/>
        <v>100</v>
      </c>
      <c r="T40" s="774" t="s">
        <v>17</v>
      </c>
      <c r="U40" s="775">
        <f t="shared" si="13"/>
        <v>100</v>
      </c>
      <c r="V40" s="774" t="s">
        <v>17</v>
      </c>
      <c r="W40" s="775">
        <f t="shared" si="14"/>
        <v>100</v>
      </c>
      <c r="X40" s="1815"/>
      <c r="Y40" s="3232"/>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152" t="str">
        <f>A41</f>
        <v>成交单价（元/平方米）</v>
      </c>
      <c r="Q41" s="3152"/>
      <c r="R41" s="3228">
        <f>E41</f>
        <v>0</v>
      </c>
      <c r="S41" s="3228"/>
      <c r="T41" s="3228">
        <f>G41</f>
        <v>0</v>
      </c>
      <c r="U41" s="3228"/>
      <c r="V41" s="3228">
        <f>I41</f>
        <v>0</v>
      </c>
      <c r="W41" s="3228"/>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152" t="str">
        <f>A42</f>
        <v>比较价值（元/平方米）</v>
      </c>
      <c r="Q42" s="3152"/>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149" t="str">
        <f>A43</f>
        <v>估价对象XX用房的比较价值（楼面单价，元/平方米）</v>
      </c>
      <c r="Q43" s="3150"/>
      <c r="R43" s="3227" t="e">
        <f>IF(F1="售价",ROUND(AVERAGE(R42:V42),0),ROUND(AVERAGE(R42:V42),1))</f>
        <v>#DIV/0!</v>
      </c>
      <c r="S43" s="3227"/>
      <c r="T43" s="3227"/>
      <c r="U43" s="3227"/>
      <c r="V43" s="3227"/>
      <c r="W43" s="322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1966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24"/>
      <c r="F1" s="2584"/>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2283</v>
      </c>
      <c r="B2" s="1420" t="e">
        <f ca="1">IF(C2="——",IF(B37="元/平方米",ROUND(C39*D3/10000,0),ROUND(F3*C39/10000,0)),IF(B37="元/平方米",ROUND(C39*D3/10000,0),ROUND(F3*C39/10000,0))-D2)</f>
        <v>#DIV/0!</v>
      </c>
      <c r="C2" s="2586"/>
      <c r="D2" s="1126" t="e">
        <f ca="1">SUMIF(INDIRECT("'"&amp;F2&amp;"'"&amp;"!A:A"),"承租人权益价值",INDIRECT("'"&amp;F2&amp;"'"&amp;"!c:c"))</f>
        <v>#REF!</v>
      </c>
      <c r="E2" s="2587" t="s">
        <v>2284</v>
      </c>
      <c r="F2" s="2588"/>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2600</v>
      </c>
      <c r="D3" s="399">
        <f>SUMIF('数据-汇总表'!$C19:$C33,D1,'数据-汇总表'!$E19:$E33)</f>
        <v>0</v>
      </c>
      <c r="E3" s="400" t="s">
        <v>2664</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60" t="s">
        <v>2604</v>
      </c>
      <c r="AC4" s="3159" t="s">
        <v>2605</v>
      </c>
    </row>
    <row r="5" spans="1:29" ht="15">
      <c r="A5" s="404"/>
      <c r="B5" s="405"/>
      <c r="C5" s="3183" t="s">
        <v>2498</v>
      </c>
      <c r="D5" s="3184"/>
      <c r="E5" s="3172" t="s">
        <v>2499</v>
      </c>
      <c r="F5" s="3173"/>
      <c r="G5" s="3183" t="s">
        <v>2500</v>
      </c>
      <c r="H5" s="3184"/>
      <c r="I5" s="3183" t="s">
        <v>2501</v>
      </c>
      <c r="J5" s="3184"/>
      <c r="K5" s="610"/>
      <c r="L5" s="1132"/>
      <c r="M5" s="1133"/>
      <c r="N5" s="1133"/>
      <c r="O5" s="1133"/>
      <c r="P5" s="3168"/>
      <c r="Q5" s="3169"/>
      <c r="R5" s="3181"/>
      <c r="S5" s="3182"/>
      <c r="T5" s="3181"/>
      <c r="U5" s="3182"/>
      <c r="V5" s="3154"/>
      <c r="W5" s="3154"/>
      <c r="X5" s="1815"/>
      <c r="Y5" s="3181"/>
      <c r="Z5" s="3182"/>
      <c r="AA5" s="3160"/>
      <c r="AB5" s="3160"/>
      <c r="AC5" s="3160"/>
    </row>
    <row r="6" spans="1:29" ht="15.75" thickBot="1">
      <c r="A6" s="406"/>
      <c r="B6" s="407"/>
      <c r="C6" s="3223" t="s">
        <v>2502</v>
      </c>
      <c r="D6" s="3224"/>
      <c r="E6" s="3225" t="s">
        <v>2502</v>
      </c>
      <c r="F6" s="3226"/>
      <c r="G6" s="3223" t="s">
        <v>2502</v>
      </c>
      <c r="H6" s="3224"/>
      <c r="I6" s="3223" t="s">
        <v>2502</v>
      </c>
      <c r="J6" s="3224"/>
      <c r="K6" s="610" t="s">
        <v>2503</v>
      </c>
      <c r="L6" s="1132"/>
      <c r="M6" s="1133"/>
      <c r="N6" s="1133"/>
      <c r="O6" s="1133"/>
      <c r="P6" s="3170"/>
      <c r="Q6" s="3171"/>
      <c r="R6" s="3181"/>
      <c r="S6" s="3182"/>
      <c r="T6" s="3191"/>
      <c r="U6" s="3192"/>
      <c r="V6" s="3154"/>
      <c r="W6" s="3154"/>
      <c r="X6" s="1815"/>
      <c r="Y6" s="3191"/>
      <c r="Z6" s="3192"/>
      <c r="AA6" s="3161"/>
      <c r="AB6" s="3161"/>
      <c r="AC6" s="3161"/>
    </row>
    <row r="7" spans="1:29" s="117" customFormat="1" ht="15.75" thickBot="1">
      <c r="A7" s="408" t="s">
        <v>2504</v>
      </c>
      <c r="B7" s="409"/>
      <c r="C7" s="410">
        <f>'数据-取费表'!B2</f>
        <v>43245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4" t="s">
        <v>2505</v>
      </c>
      <c r="Q7" s="3187"/>
      <c r="R7" s="770" t="s">
        <v>17</v>
      </c>
      <c r="S7" s="771">
        <f t="shared" ref="S7:S14" si="0">F7</f>
        <v>0</v>
      </c>
      <c r="T7" s="770" t="s">
        <v>17</v>
      </c>
      <c r="U7" s="771">
        <f t="shared" ref="U7:U14" si="1">H7</f>
        <v>0</v>
      </c>
      <c r="V7" s="770" t="s">
        <v>17</v>
      </c>
      <c r="W7" s="771">
        <f t="shared" ref="W7:W14" si="2">J7</f>
        <v>0</v>
      </c>
      <c r="X7" s="772"/>
      <c r="Y7" s="3174" t="s">
        <v>2505</v>
      </c>
      <c r="Z7" s="3175"/>
      <c r="AA7" s="773" t="e">
        <f>D7/F7</f>
        <v>#DIV/0!</v>
      </c>
      <c r="AB7" s="773" t="e">
        <f>D7/H7</f>
        <v>#DIV/0!</v>
      </c>
      <c r="AC7" s="773" t="e">
        <f>D7/J7</f>
        <v>#DIV/0!</v>
      </c>
    </row>
    <row r="8" spans="1:29" s="117" customFormat="1" ht="15.75" thickBot="1">
      <c r="A8" s="408" t="s">
        <v>2506</v>
      </c>
      <c r="B8" s="409"/>
      <c r="C8" s="414" t="s">
        <v>2608</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4" t="s">
        <v>2508</v>
      </c>
      <c r="Q8" s="3175"/>
      <c r="R8" s="770" t="s">
        <v>17</v>
      </c>
      <c r="S8" s="771">
        <f t="shared" si="0"/>
        <v>0</v>
      </c>
      <c r="T8" s="770" t="s">
        <v>17</v>
      </c>
      <c r="U8" s="771">
        <f t="shared" si="1"/>
        <v>0</v>
      </c>
      <c r="V8" s="770" t="s">
        <v>17</v>
      </c>
      <c r="W8" s="771">
        <f t="shared" si="2"/>
        <v>0</v>
      </c>
      <c r="X8" s="772"/>
      <c r="Y8" s="3174" t="s">
        <v>2508</v>
      </c>
      <c r="Z8" s="3175"/>
      <c r="AA8" s="773" t="e">
        <f t="shared" ref="AA8:AA36" si="3">D8/F8</f>
        <v>#DIV/0!</v>
      </c>
      <c r="AB8" s="773" t="e">
        <f t="shared" ref="AB8:AB36" si="4">D8/H8</f>
        <v>#DIV/0!</v>
      </c>
      <c r="AC8" s="773" t="e">
        <f t="shared" ref="AC8:AC36" si="5">D8/J8</f>
        <v>#DIV/0!</v>
      </c>
    </row>
    <row r="9" spans="1:29" s="117" customFormat="1">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2" t="s">
        <v>2511</v>
      </c>
      <c r="Q9" s="1797" t="str">
        <f t="shared" ref="Q9:Q14" si="6">B9</f>
        <v>用途</v>
      </c>
      <c r="R9" s="770" t="s">
        <v>17</v>
      </c>
      <c r="S9" s="771">
        <f t="shared" si="0"/>
        <v>100</v>
      </c>
      <c r="T9" s="770" t="s">
        <v>17</v>
      </c>
      <c r="U9" s="771">
        <f t="shared" si="1"/>
        <v>100</v>
      </c>
      <c r="V9" s="770" t="s">
        <v>17</v>
      </c>
      <c r="W9" s="771">
        <f t="shared" si="2"/>
        <v>100</v>
      </c>
      <c r="X9" s="772"/>
      <c r="Y9" s="3029" t="s">
        <v>2512</v>
      </c>
      <c r="Z9" s="55" t="str">
        <f t="shared" ref="Z9:Z14" si="7">Q9</f>
        <v>用途</v>
      </c>
      <c r="AA9" s="773">
        <f t="shared" si="3"/>
        <v>1</v>
      </c>
      <c r="AB9" s="773">
        <f t="shared" si="4"/>
        <v>1</v>
      </c>
      <c r="AC9" s="773">
        <f t="shared" si="5"/>
        <v>1</v>
      </c>
    </row>
    <row r="10" spans="1:29" s="427" customFormat="1" ht="27">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2"/>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2515</v>
      </c>
      <c r="B14" s="629" t="s">
        <v>2665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55" t="s">
        <v>2516</v>
      </c>
      <c r="Q14" s="1812" t="str">
        <f t="shared" si="6"/>
        <v>交通便捷度</v>
      </c>
      <c r="R14" s="774" t="s">
        <v>17</v>
      </c>
      <c r="S14" s="775">
        <f t="shared" si="0"/>
        <v>100</v>
      </c>
      <c r="T14" s="774" t="s">
        <v>17</v>
      </c>
      <c r="U14" s="775">
        <f t="shared" si="1"/>
        <v>100</v>
      </c>
      <c r="V14" s="774" t="s">
        <v>17</v>
      </c>
      <c r="W14" s="775">
        <f t="shared" si="2"/>
        <v>100</v>
      </c>
      <c r="X14" s="1815"/>
      <c r="Y14" s="3155" t="s">
        <v>2516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56"/>
      <c r="Q15" s="1812"/>
      <c r="R15" s="774"/>
      <c r="S15" s="775"/>
      <c r="T15" s="774"/>
      <c r="U15" s="775"/>
      <c r="V15" s="774"/>
      <c r="W15" s="775"/>
      <c r="X15" s="1815"/>
      <c r="Y15" s="3156"/>
      <c r="Z15" s="1816"/>
      <c r="AA15" s="1813">
        <v>1</v>
      </c>
      <c r="AB15" s="1813">
        <v>1</v>
      </c>
      <c r="AC15" s="1813">
        <v>1</v>
      </c>
    </row>
    <row r="16" spans="1:29" ht="42.75">
      <c r="A16" s="404"/>
      <c r="B16" s="631" t="s">
        <v>2644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56"/>
      <c r="Q16" s="1812" t="str">
        <f>B16</f>
        <v>公共配套设施</v>
      </c>
      <c r="R16" s="774" t="s">
        <v>17</v>
      </c>
      <c r="S16" s="775">
        <f>F16</f>
        <v>100</v>
      </c>
      <c r="T16" s="774" t="s">
        <v>17</v>
      </c>
      <c r="U16" s="775">
        <f>H16</f>
        <v>100</v>
      </c>
      <c r="V16" s="774" t="s">
        <v>17</v>
      </c>
      <c r="W16" s="775">
        <f>J16</f>
        <v>100</v>
      </c>
      <c r="X16" s="1815"/>
      <c r="Y16" s="3156"/>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156"/>
      <c r="Q17" s="1812"/>
      <c r="R17" s="774"/>
      <c r="S17" s="775"/>
      <c r="T17" s="774"/>
      <c r="U17" s="775"/>
      <c r="V17" s="774"/>
      <c r="W17" s="775"/>
      <c r="X17" s="1815"/>
      <c r="Y17" s="3156"/>
      <c r="Z17" s="1816"/>
      <c r="AA17" s="1813">
        <v>1</v>
      </c>
      <c r="AB17" s="1813">
        <v>1</v>
      </c>
      <c r="AC17" s="1813">
        <v>1</v>
      </c>
    </row>
    <row r="18" spans="1:29" ht="28.5">
      <c r="A18" s="404"/>
      <c r="B18" s="633" t="s">
        <v>2645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56"/>
      <c r="Q18" s="1812" t="str">
        <f>B18</f>
        <v>基础设施水平</v>
      </c>
      <c r="R18" s="774" t="s">
        <v>17</v>
      </c>
      <c r="S18" s="775">
        <f>F18</f>
        <v>100</v>
      </c>
      <c r="T18" s="774" t="s">
        <v>17</v>
      </c>
      <c r="U18" s="775">
        <f>H18</f>
        <v>100</v>
      </c>
      <c r="V18" s="774" t="s">
        <v>17</v>
      </c>
      <c r="W18" s="775">
        <f>J18</f>
        <v>100</v>
      </c>
      <c r="X18" s="1815"/>
      <c r="Y18" s="3156"/>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156"/>
      <c r="Q19" s="1812"/>
      <c r="R19" s="774"/>
      <c r="S19" s="775"/>
      <c r="T19" s="774"/>
      <c r="U19" s="775"/>
      <c r="V19" s="774"/>
      <c r="W19" s="775"/>
      <c r="X19" s="1815"/>
      <c r="Y19" s="3156"/>
      <c r="Z19" s="1816"/>
      <c r="AA19" s="1813">
        <v>1</v>
      </c>
      <c r="AB19" s="1813">
        <v>1</v>
      </c>
      <c r="AC19" s="1813">
        <v>1</v>
      </c>
    </row>
    <row r="20" spans="1:29" ht="57">
      <c r="A20" s="404"/>
      <c r="B20" s="631" t="s">
        <v>2666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56"/>
      <c r="Q20" s="1812" t="str">
        <f>B20</f>
        <v>自然及人文环境</v>
      </c>
      <c r="R20" s="774" t="s">
        <v>17</v>
      </c>
      <c r="S20" s="775">
        <f>F20</f>
        <v>100</v>
      </c>
      <c r="T20" s="774" t="s">
        <v>17</v>
      </c>
      <c r="U20" s="775">
        <f>H20</f>
        <v>100</v>
      </c>
      <c r="V20" s="774" t="s">
        <v>17</v>
      </c>
      <c r="W20" s="775">
        <f>J20</f>
        <v>100</v>
      </c>
      <c r="X20" s="1815"/>
      <c r="Y20" s="315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56"/>
      <c r="Q21" s="1812"/>
      <c r="R21" s="774"/>
      <c r="S21" s="775"/>
      <c r="T21" s="774"/>
      <c r="U21" s="775"/>
      <c r="V21" s="774"/>
      <c r="W21" s="775"/>
      <c r="X21" s="1815"/>
      <c r="Y21" s="3156"/>
      <c r="Z21" s="1816"/>
      <c r="AA21" s="1813">
        <v>1</v>
      </c>
      <c r="AB21" s="1813">
        <v>1</v>
      </c>
      <c r="AC21" s="1813">
        <v>1</v>
      </c>
    </row>
    <row r="22" spans="1:29" ht="15">
      <c r="A22" s="404"/>
      <c r="B22" s="631" t="s">
        <v>2667</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56"/>
      <c r="Q22" s="1812" t="str">
        <f>B22</f>
        <v>楼层</v>
      </c>
      <c r="R22" s="774" t="s">
        <v>17</v>
      </c>
      <c r="S22" s="775">
        <f>F22</f>
        <v>100</v>
      </c>
      <c r="T22" s="774" t="s">
        <v>17</v>
      </c>
      <c r="U22" s="775">
        <f>H22</f>
        <v>100</v>
      </c>
      <c r="V22" s="774" t="s">
        <v>17</v>
      </c>
      <c r="W22" s="775">
        <f>J22</f>
        <v>100</v>
      </c>
      <c r="X22" s="1815"/>
      <c r="Y22" s="315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56"/>
      <c r="Q23" s="1812">
        <f>B23</f>
        <v>111</v>
      </c>
      <c r="R23" s="774" t="s">
        <v>17</v>
      </c>
      <c r="S23" s="775">
        <f>F23</f>
        <v>100</v>
      </c>
      <c r="T23" s="774" t="s">
        <v>17</v>
      </c>
      <c r="U23" s="775">
        <f>H23</f>
        <v>100</v>
      </c>
      <c r="V23" s="774" t="s">
        <v>17</v>
      </c>
      <c r="W23" s="775">
        <f>J23</f>
        <v>100</v>
      </c>
      <c r="X23" s="1815"/>
      <c r="Y23" s="315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56"/>
      <c r="Q24" s="1812">
        <f t="shared" ref="Q24:Q36" si="11">B24</f>
        <v>111</v>
      </c>
      <c r="R24" s="774" t="s">
        <v>17</v>
      </c>
      <c r="S24" s="775">
        <f>F24</f>
        <v>100</v>
      </c>
      <c r="T24" s="774" t="s">
        <v>17</v>
      </c>
      <c r="U24" s="775">
        <f>H24</f>
        <v>100</v>
      </c>
      <c r="V24" s="774" t="s">
        <v>17</v>
      </c>
      <c r="W24" s="775">
        <f>J24</f>
        <v>100</v>
      </c>
      <c r="X24" s="1815"/>
      <c r="Y24" s="315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56"/>
      <c r="Q25" s="1797">
        <f t="shared" si="11"/>
        <v>111</v>
      </c>
      <c r="R25" s="770" t="s">
        <v>17</v>
      </c>
      <c r="S25" s="771">
        <f>F25</f>
        <v>100</v>
      </c>
      <c r="T25" s="770" t="s">
        <v>17</v>
      </c>
      <c r="U25" s="771">
        <f>H25</f>
        <v>100</v>
      </c>
      <c r="V25" s="770" t="s">
        <v>17</v>
      </c>
      <c r="W25" s="771">
        <f>J25</f>
        <v>100</v>
      </c>
      <c r="X25" s="772"/>
      <c r="Y25" s="3156"/>
      <c r="Z25" s="55">
        <f>Q25</f>
        <v>111</v>
      </c>
      <c r="AA25" s="1813">
        <f>D25/F25</f>
        <v>1</v>
      </c>
      <c r="AB25" s="1813">
        <f>D25/H25</f>
        <v>1</v>
      </c>
      <c r="AC25" s="1813">
        <f>D25/J25</f>
        <v>1</v>
      </c>
    </row>
    <row r="26" spans="1:29" ht="15">
      <c r="A26" s="652" t="s">
        <v>2519</v>
      </c>
      <c r="B26" s="70" t="s">
        <v>2668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57" t="s">
        <v>2521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58" t="s">
        <v>2521</v>
      </c>
      <c r="Z26" s="1816" t="str">
        <f t="shared" ref="Z26:Z36" si="15">Q26</f>
        <v>配套类型</v>
      </c>
      <c r="AA26" s="1813">
        <f t="shared" si="3"/>
        <v>1</v>
      </c>
      <c r="AB26" s="1813">
        <f t="shared" si="4"/>
        <v>1</v>
      </c>
      <c r="AC26" s="1813">
        <f t="shared" si="5"/>
        <v>1</v>
      </c>
    </row>
    <row r="27" spans="1:29" s="471" customFormat="1" ht="15">
      <c r="A27" s="653"/>
      <c r="B27" s="654" t="s">
        <v>2669</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3">
        <f t="shared" si="3"/>
        <v>1</v>
      </c>
      <c r="AB27" s="1813">
        <f t="shared" si="4"/>
        <v>1</v>
      </c>
      <c r="AC27" s="1813">
        <f t="shared" si="5"/>
        <v>1</v>
      </c>
    </row>
    <row r="28" spans="1:29" ht="15">
      <c r="A28" s="656"/>
      <c r="B28" s="654" t="s">
        <v>2670</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58"/>
      <c r="Q28" s="1812" t="str">
        <f t="shared" si="11"/>
        <v>公共部分装修</v>
      </c>
      <c r="R28" s="774" t="s">
        <v>17</v>
      </c>
      <c r="S28" s="775">
        <f t="shared" si="12"/>
        <v>100</v>
      </c>
      <c r="T28" s="774" t="s">
        <v>17</v>
      </c>
      <c r="U28" s="775">
        <f t="shared" si="13"/>
        <v>100</v>
      </c>
      <c r="V28" s="774" t="s">
        <v>17</v>
      </c>
      <c r="W28" s="775">
        <f t="shared" si="14"/>
        <v>100</v>
      </c>
      <c r="X28" s="1815"/>
      <c r="Y28" s="3158"/>
      <c r="Z28" s="1816" t="str">
        <f t="shared" si="15"/>
        <v>公共部分装修</v>
      </c>
      <c r="AA28" s="1813">
        <f t="shared" si="3"/>
        <v>1</v>
      </c>
      <c r="AB28" s="1813">
        <f t="shared" si="4"/>
        <v>1</v>
      </c>
      <c r="AC28" s="1813">
        <f t="shared" si="5"/>
        <v>1</v>
      </c>
    </row>
    <row r="29" spans="1:29" ht="15">
      <c r="A29" s="656"/>
      <c r="B29" s="654" t="s">
        <v>2671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58"/>
      <c r="Q29" s="1812" t="str">
        <f t="shared" si="11"/>
        <v>成新率</v>
      </c>
      <c r="R29" s="774" t="s">
        <v>17</v>
      </c>
      <c r="S29" s="775" t="e">
        <f t="shared" si="12"/>
        <v>#N/A</v>
      </c>
      <c r="T29" s="774" t="s">
        <v>17</v>
      </c>
      <c r="U29" s="775" t="e">
        <f t="shared" si="13"/>
        <v>#N/A</v>
      </c>
      <c r="V29" s="774" t="s">
        <v>17</v>
      </c>
      <c r="W29" s="775" t="e">
        <f t="shared" si="14"/>
        <v>#N/A</v>
      </c>
      <c r="X29" s="1815"/>
      <c r="Y29" s="3158"/>
      <c r="Z29" s="1816" t="str">
        <f t="shared" si="15"/>
        <v>成新率</v>
      </c>
      <c r="AA29" s="1813" t="e">
        <f t="shared" si="3"/>
        <v>#N/A</v>
      </c>
      <c r="AB29" s="1813" t="e">
        <f t="shared" si="4"/>
        <v>#N/A</v>
      </c>
      <c r="AC29" s="1813" t="e">
        <f t="shared" si="5"/>
        <v>#N/A</v>
      </c>
    </row>
    <row r="30" spans="1:29" ht="15">
      <c r="A30" s="656"/>
      <c r="B30" s="654" t="s">
        <v>2672</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58"/>
      <c r="Q30" s="1812" t="str">
        <f t="shared" si="11"/>
        <v>物业等级</v>
      </c>
      <c r="R30" s="774" t="s">
        <v>17</v>
      </c>
      <c r="S30" s="775">
        <f t="shared" si="12"/>
        <v>100</v>
      </c>
      <c r="T30" s="774" t="s">
        <v>17</v>
      </c>
      <c r="U30" s="775">
        <f t="shared" si="13"/>
        <v>100</v>
      </c>
      <c r="V30" s="774" t="s">
        <v>17</v>
      </c>
      <c r="W30" s="775">
        <f t="shared" si="14"/>
        <v>100</v>
      </c>
      <c r="X30" s="1815"/>
      <c r="Y30" s="3158"/>
      <c r="Z30" s="1816" t="str">
        <f t="shared" si="15"/>
        <v>物业等级</v>
      </c>
      <c r="AA30" s="1813">
        <f t="shared" si="3"/>
        <v>1</v>
      </c>
      <c r="AB30" s="1813">
        <f t="shared" si="4"/>
        <v>1</v>
      </c>
      <c r="AC30" s="1813">
        <f t="shared" si="5"/>
        <v>1</v>
      </c>
    </row>
    <row r="31" spans="1:29" s="117" customFormat="1" ht="15">
      <c r="A31" s="658"/>
      <c r="B31" s="654" t="s">
        <v>2673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58"/>
      <c r="Q31" s="1797"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2674</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58" t="s">
        <v>2521</v>
      </c>
      <c r="Q32" s="1812" t="str">
        <f t="shared" si="11"/>
        <v>车位类型</v>
      </c>
      <c r="R32" s="774" t="s">
        <v>17</v>
      </c>
      <c r="S32" s="775">
        <f t="shared" si="12"/>
        <v>100</v>
      </c>
      <c r="T32" s="774" t="s">
        <v>17</v>
      </c>
      <c r="U32" s="775">
        <f t="shared" si="13"/>
        <v>100</v>
      </c>
      <c r="V32" s="774" t="s">
        <v>17</v>
      </c>
      <c r="W32" s="775">
        <f t="shared" si="14"/>
        <v>100</v>
      </c>
      <c r="X32" s="1815"/>
      <c r="Y32" s="3158" t="s">
        <v>2521</v>
      </c>
      <c r="Z32" s="1816" t="str">
        <f t="shared" si="15"/>
        <v>车位类型</v>
      </c>
      <c r="AA32" s="1813">
        <f t="shared" si="3"/>
        <v>1</v>
      </c>
      <c r="AB32" s="1813">
        <f t="shared" si="4"/>
        <v>1</v>
      </c>
      <c r="AC32" s="1813">
        <f t="shared" si="5"/>
        <v>1</v>
      </c>
    </row>
    <row r="33" spans="1:29" ht="15">
      <c r="A33" s="656"/>
      <c r="B33" s="654" t="s">
        <v>2675</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58"/>
      <c r="Q33" s="1812" t="str">
        <f t="shared" si="11"/>
        <v>是否直接入户</v>
      </c>
      <c r="R33" s="774" t="s">
        <v>17</v>
      </c>
      <c r="S33" s="775">
        <f t="shared" si="12"/>
        <v>100</v>
      </c>
      <c r="T33" s="774" t="s">
        <v>17</v>
      </c>
      <c r="U33" s="775">
        <f t="shared" si="13"/>
        <v>100</v>
      </c>
      <c r="V33" s="774" t="s">
        <v>17</v>
      </c>
      <c r="W33" s="775">
        <f t="shared" si="14"/>
        <v>100</v>
      </c>
      <c r="X33" s="1815"/>
      <c r="Y33" s="315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58"/>
      <c r="Q34" s="1812">
        <f t="shared" si="11"/>
        <v>111</v>
      </c>
      <c r="R34" s="774" t="s">
        <v>17</v>
      </c>
      <c r="S34" s="775">
        <f t="shared" si="12"/>
        <v>100</v>
      </c>
      <c r="T34" s="774" t="s">
        <v>17</v>
      </c>
      <c r="U34" s="775">
        <f t="shared" si="13"/>
        <v>100</v>
      </c>
      <c r="V34" s="774" t="s">
        <v>17</v>
      </c>
      <c r="W34" s="775">
        <f t="shared" si="14"/>
        <v>100</v>
      </c>
      <c r="X34" s="1815"/>
      <c r="Y34" s="315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58"/>
      <c r="Q36" s="1812">
        <f t="shared" si="11"/>
        <v>111</v>
      </c>
      <c r="R36" s="774" t="s">
        <v>17</v>
      </c>
      <c r="S36" s="775">
        <f t="shared" si="12"/>
        <v>100</v>
      </c>
      <c r="T36" s="774" t="s">
        <v>17</v>
      </c>
      <c r="U36" s="775">
        <f t="shared" si="13"/>
        <v>100</v>
      </c>
      <c r="V36" s="774" t="s">
        <v>17</v>
      </c>
      <c r="W36" s="775">
        <f t="shared" si="14"/>
        <v>100</v>
      </c>
      <c r="X36" s="1815"/>
      <c r="Y36" s="3158"/>
      <c r="Z36" s="1816">
        <f t="shared" si="15"/>
        <v>111</v>
      </c>
      <c r="AA36" s="1813">
        <f t="shared" si="3"/>
        <v>1</v>
      </c>
      <c r="AB36" s="1813">
        <f t="shared" si="4"/>
        <v>1</v>
      </c>
      <c r="AC36" s="1813">
        <f t="shared" si="5"/>
        <v>1</v>
      </c>
    </row>
    <row r="37" spans="1:29" ht="15">
      <c r="A37" s="479" t="s">
        <v>2676</v>
      </c>
      <c r="B37" s="2695" t="s">
        <v>2677</v>
      </c>
      <c r="C37" s="1409" t="s">
        <v>1</v>
      </c>
      <c r="D37" s="1410"/>
      <c r="E37" s="1411"/>
      <c r="F37" s="1412"/>
      <c r="G37" s="1413"/>
      <c r="H37" s="1414"/>
      <c r="I37" s="1411"/>
      <c r="J37" s="1414"/>
      <c r="K37" s="619"/>
      <c r="L37" s="1145"/>
      <c r="M37" s="1146"/>
      <c r="N37" s="1133"/>
      <c r="O37" s="1146"/>
      <c r="P37" s="3152" t="str">
        <f>A37</f>
        <v>成交单价</v>
      </c>
      <c r="Q37" s="3152"/>
      <c r="R37" s="3228">
        <f>E37</f>
        <v>0</v>
      </c>
      <c r="S37" s="3228"/>
      <c r="T37" s="3228">
        <f>G37</f>
        <v>0</v>
      </c>
      <c r="U37" s="3228"/>
      <c r="V37" s="3228">
        <f>I37</f>
        <v>0</v>
      </c>
      <c r="W37" s="3228"/>
      <c r="X37" s="759"/>
      <c r="Y37" s="781"/>
      <c r="Z37" s="759"/>
      <c r="AA37" s="759"/>
      <c r="AB37" s="759"/>
      <c r="AC37" s="759"/>
    </row>
    <row r="38" spans="1:29" ht="15.75" thickBot="1">
      <c r="A38" s="486" t="s">
        <v>2678</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2" t="str">
        <f>A38</f>
        <v>比较价值（元/平方米）</v>
      </c>
      <c r="Q38" s="3152"/>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2679</v>
      </c>
      <c r="B39" s="493"/>
      <c r="C39" s="1419" t="e">
        <f>R39</f>
        <v>#DIV/0!</v>
      </c>
      <c r="D39" s="1419"/>
      <c r="E39" s="1419"/>
      <c r="F39" s="1419"/>
      <c r="G39" s="1419"/>
      <c r="H39" s="1419"/>
      <c r="I39" s="1419"/>
      <c r="J39" s="1419"/>
      <c r="K39" s="621"/>
      <c r="L39" s="1145"/>
      <c r="M39" s="1146"/>
      <c r="N39" s="1146"/>
      <c r="O39" s="1146"/>
      <c r="P39" s="3149" t="str">
        <f>A39</f>
        <v>估价对象XX用房的比较价值（楼面单价，元/平方米）</v>
      </c>
      <c r="Q39" s="3150"/>
      <c r="R39" s="3227" t="e">
        <f>IF(F1="售价",ROUND(AVERAGE(R38:V38),0),ROUND(AVERAGE(R38:V38),1))</f>
        <v>#DIV/0!</v>
      </c>
      <c r="S39" s="3227"/>
      <c r="T39" s="3227"/>
      <c r="U39" s="3227"/>
      <c r="V39" s="3227"/>
      <c r="W39" s="322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4"/>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2283</v>
      </c>
      <c r="B2" s="1420" t="e">
        <f ca="1">IF(C2="——",ROUND(C37*D3/10000,0),ROUND(C37*D3/10000,0)-D2)</f>
        <v>#DIV/0!</v>
      </c>
      <c r="C2" s="2586"/>
      <c r="D2" s="1126" t="e">
        <f ca="1">SUMIF(INDIRECT("'"&amp;F2&amp;"'"&amp;"!A:A"),"承租人权益价值",INDIRECT("'"&amp;F2&amp;"'"&amp;"!c:c"))</f>
        <v>#REF!</v>
      </c>
      <c r="E2" s="2587" t="s">
        <v>2284</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60" t="s">
        <v>2604</v>
      </c>
      <c r="AC4" s="3159" t="s">
        <v>2605</v>
      </c>
    </row>
    <row r="5" spans="1:29" ht="15">
      <c r="A5" s="404"/>
      <c r="B5" s="405"/>
      <c r="C5" s="3183" t="s">
        <v>2498</v>
      </c>
      <c r="D5" s="3184"/>
      <c r="E5" s="3172" t="s">
        <v>2499</v>
      </c>
      <c r="F5" s="3173"/>
      <c r="G5" s="3183" t="s">
        <v>2500</v>
      </c>
      <c r="H5" s="3184"/>
      <c r="I5" s="3183" t="s">
        <v>2501</v>
      </c>
      <c r="J5" s="3184"/>
      <c r="K5" s="610"/>
      <c r="L5" s="1132"/>
      <c r="M5" s="1133"/>
      <c r="N5" s="1133"/>
      <c r="O5" s="1133"/>
      <c r="P5" s="3168"/>
      <c r="Q5" s="3169"/>
      <c r="R5" s="3181"/>
      <c r="S5" s="3182"/>
      <c r="T5" s="3181"/>
      <c r="U5" s="3182"/>
      <c r="V5" s="3154"/>
      <c r="W5" s="3154"/>
      <c r="X5" s="1815"/>
      <c r="Y5" s="3181"/>
      <c r="Z5" s="3182"/>
      <c r="AA5" s="3160"/>
      <c r="AB5" s="3160"/>
      <c r="AC5" s="3160"/>
    </row>
    <row r="6" spans="1:29" ht="15.75" thickBot="1">
      <c r="A6" s="406"/>
      <c r="B6" s="407"/>
      <c r="C6" s="3223" t="s">
        <v>2502</v>
      </c>
      <c r="D6" s="3224"/>
      <c r="E6" s="3225" t="s">
        <v>2502</v>
      </c>
      <c r="F6" s="3226"/>
      <c r="G6" s="3223" t="s">
        <v>2502</v>
      </c>
      <c r="H6" s="3224"/>
      <c r="I6" s="3223" t="s">
        <v>2502</v>
      </c>
      <c r="J6" s="3224"/>
      <c r="K6" s="610" t="s">
        <v>2503</v>
      </c>
      <c r="L6" s="1132"/>
      <c r="M6" s="1133"/>
      <c r="N6" s="1133"/>
      <c r="O6" s="1133"/>
      <c r="P6" s="3170"/>
      <c r="Q6" s="3171"/>
      <c r="R6" s="3181"/>
      <c r="S6" s="3182"/>
      <c r="T6" s="3191"/>
      <c r="U6" s="3192"/>
      <c r="V6" s="3154"/>
      <c r="W6" s="3154"/>
      <c r="X6" s="1815"/>
      <c r="Y6" s="3191"/>
      <c r="Z6" s="3192"/>
      <c r="AA6" s="3161"/>
      <c r="AB6" s="3161"/>
      <c r="AC6" s="3161"/>
    </row>
    <row r="7" spans="1:29" s="117" customFormat="1" ht="15.75" thickBot="1">
      <c r="A7" s="408" t="s">
        <v>2504</v>
      </c>
      <c r="B7" s="409"/>
      <c r="C7" s="410">
        <f>'数据-取费表'!B2</f>
        <v>43245</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74" t="s">
        <v>2505</v>
      </c>
      <c r="Q7" s="3187"/>
      <c r="R7" s="770" t="s">
        <v>17</v>
      </c>
      <c r="S7" s="771">
        <f t="shared" ref="S7:S14" si="0">F7</f>
        <v>0</v>
      </c>
      <c r="T7" s="770" t="s">
        <v>17</v>
      </c>
      <c r="U7" s="771">
        <f t="shared" ref="U7:U14" si="1">H7</f>
        <v>0</v>
      </c>
      <c r="V7" s="770" t="s">
        <v>17</v>
      </c>
      <c r="W7" s="771">
        <f t="shared" ref="W7:W14" si="2">J7</f>
        <v>0</v>
      </c>
      <c r="X7" s="772"/>
      <c r="Y7" s="3174" t="s">
        <v>2505</v>
      </c>
      <c r="Z7" s="3175"/>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4" t="s">
        <v>2508</v>
      </c>
      <c r="Q8" s="3175"/>
      <c r="R8" s="770" t="s">
        <v>17</v>
      </c>
      <c r="S8" s="771">
        <f t="shared" si="0"/>
        <v>0</v>
      </c>
      <c r="T8" s="770" t="s">
        <v>17</v>
      </c>
      <c r="U8" s="771">
        <f t="shared" si="1"/>
        <v>0</v>
      </c>
      <c r="V8" s="770" t="s">
        <v>17</v>
      </c>
      <c r="W8" s="771">
        <f t="shared" si="2"/>
        <v>0</v>
      </c>
      <c r="X8" s="772"/>
      <c r="Y8" s="3174" t="s">
        <v>2508</v>
      </c>
      <c r="Z8" s="3175"/>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2" t="s">
        <v>2511</v>
      </c>
      <c r="Q9" s="1797" t="str">
        <f t="shared" ref="Q9:Q14" si="6">B9</f>
        <v>用途</v>
      </c>
      <c r="R9" s="770" t="s">
        <v>17</v>
      </c>
      <c r="S9" s="771">
        <f t="shared" si="0"/>
        <v>100</v>
      </c>
      <c r="T9" s="770" t="s">
        <v>17</v>
      </c>
      <c r="U9" s="771">
        <f t="shared" si="1"/>
        <v>100</v>
      </c>
      <c r="V9" s="770" t="s">
        <v>17</v>
      </c>
      <c r="W9" s="771">
        <f t="shared" si="2"/>
        <v>100</v>
      </c>
      <c r="X9" s="772"/>
      <c r="Y9" s="3029"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2"/>
      <c r="Q10" s="1797"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2"/>
      <c r="Q11" s="1797">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2"/>
      <c r="Q12" s="1797">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52"/>
      <c r="Q13" s="1797">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2515</v>
      </c>
      <c r="B14" s="69" t="s">
        <v>2665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55" t="s">
        <v>2516</v>
      </c>
      <c r="Q14" s="1812" t="str">
        <f t="shared" si="6"/>
        <v>交通便捷度</v>
      </c>
      <c r="R14" s="774" t="s">
        <v>17</v>
      </c>
      <c r="S14" s="775">
        <f t="shared" si="0"/>
        <v>100</v>
      </c>
      <c r="T14" s="774" t="s">
        <v>17</v>
      </c>
      <c r="U14" s="775">
        <f t="shared" si="1"/>
        <v>100</v>
      </c>
      <c r="V14" s="774" t="s">
        <v>17</v>
      </c>
      <c r="W14" s="775">
        <f t="shared" si="2"/>
        <v>100</v>
      </c>
      <c r="X14" s="1815"/>
      <c r="Y14" s="3155"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56"/>
      <c r="Q15" s="1812"/>
      <c r="R15" s="774"/>
      <c r="S15" s="775"/>
      <c r="T15" s="774"/>
      <c r="U15" s="775"/>
      <c r="V15" s="774"/>
      <c r="W15" s="775"/>
      <c r="X15" s="1815"/>
      <c r="Y15" s="3156"/>
      <c r="Z15" s="1816"/>
      <c r="AA15" s="1813">
        <v>1</v>
      </c>
      <c r="AB15" s="1813">
        <v>1</v>
      </c>
      <c r="AC15" s="1813">
        <v>1</v>
      </c>
    </row>
    <row r="16" spans="1:29" ht="42.75">
      <c r="A16" s="428"/>
      <c r="B16" s="451" t="s">
        <v>2644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56"/>
      <c r="Q16" s="1812" t="str">
        <f>B16</f>
        <v>公共配套设施</v>
      </c>
      <c r="R16" s="774" t="s">
        <v>17</v>
      </c>
      <c r="S16" s="775">
        <f>F16</f>
        <v>100</v>
      </c>
      <c r="T16" s="774" t="s">
        <v>17</v>
      </c>
      <c r="U16" s="775">
        <f>H16</f>
        <v>100</v>
      </c>
      <c r="V16" s="774" t="s">
        <v>17</v>
      </c>
      <c r="W16" s="775">
        <f>J16</f>
        <v>100</v>
      </c>
      <c r="X16" s="1815"/>
      <c r="Y16" s="3156"/>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156"/>
      <c r="Q17" s="1812"/>
      <c r="R17" s="774"/>
      <c r="S17" s="775"/>
      <c r="T17" s="774"/>
      <c r="U17" s="775"/>
      <c r="V17" s="774"/>
      <c r="W17" s="775"/>
      <c r="X17" s="1815"/>
      <c r="Y17" s="3156"/>
      <c r="Z17" s="1816"/>
      <c r="AA17" s="1813">
        <v>1</v>
      </c>
      <c r="AB17" s="1813">
        <v>1</v>
      </c>
      <c r="AC17" s="1813">
        <v>1</v>
      </c>
    </row>
    <row r="18" spans="1:29" ht="28.5">
      <c r="A18" s="428"/>
      <c r="B18" s="1386" t="s">
        <v>2645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56"/>
      <c r="Q18" s="1812" t="str">
        <f>B18</f>
        <v>基础设施水平</v>
      </c>
      <c r="R18" s="774" t="s">
        <v>17</v>
      </c>
      <c r="S18" s="775">
        <f>F18</f>
        <v>100</v>
      </c>
      <c r="T18" s="774" t="s">
        <v>17</v>
      </c>
      <c r="U18" s="775">
        <f>H18</f>
        <v>100</v>
      </c>
      <c r="V18" s="774" t="s">
        <v>17</v>
      </c>
      <c r="W18" s="775">
        <f>J18</f>
        <v>100</v>
      </c>
      <c r="X18" s="1815"/>
      <c r="Y18" s="3156"/>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156"/>
      <c r="Q19" s="1812"/>
      <c r="R19" s="774"/>
      <c r="S19" s="775"/>
      <c r="T19" s="774"/>
      <c r="U19" s="775"/>
      <c r="V19" s="774"/>
      <c r="W19" s="775"/>
      <c r="X19" s="1815"/>
      <c r="Y19" s="3156"/>
      <c r="Z19" s="1816"/>
      <c r="AA19" s="1813">
        <v>1</v>
      </c>
      <c r="AB19" s="1813">
        <v>1</v>
      </c>
      <c r="AC19" s="1813">
        <v>1</v>
      </c>
    </row>
    <row r="20" spans="1:29" ht="57">
      <c r="A20" s="428"/>
      <c r="B20" s="451" t="s">
        <v>2666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56"/>
      <c r="Q20" s="1812" t="str">
        <f>B20</f>
        <v>自然及人文环境</v>
      </c>
      <c r="R20" s="774" t="s">
        <v>17</v>
      </c>
      <c r="S20" s="775">
        <f>F20</f>
        <v>100</v>
      </c>
      <c r="T20" s="774" t="s">
        <v>17</v>
      </c>
      <c r="U20" s="775">
        <f>H20</f>
        <v>100</v>
      </c>
      <c r="V20" s="774" t="s">
        <v>17</v>
      </c>
      <c r="W20" s="775">
        <f>J20</f>
        <v>100</v>
      </c>
      <c r="X20" s="1815"/>
      <c r="Y20" s="315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56"/>
      <c r="Q21" s="1812"/>
      <c r="R21" s="774"/>
      <c r="S21" s="775"/>
      <c r="T21" s="774"/>
      <c r="U21" s="775"/>
      <c r="V21" s="774"/>
      <c r="W21" s="775"/>
      <c r="X21" s="1815"/>
      <c r="Y21" s="3156"/>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56"/>
      <c r="Q22" s="1812" t="str">
        <f>B22</f>
        <v>楼层</v>
      </c>
      <c r="R22" s="774" t="s">
        <v>17</v>
      </c>
      <c r="S22" s="775">
        <f>F22</f>
        <v>100</v>
      </c>
      <c r="T22" s="774" t="s">
        <v>17</v>
      </c>
      <c r="U22" s="775">
        <f>H22</f>
        <v>100</v>
      </c>
      <c r="V22" s="774" t="s">
        <v>17</v>
      </c>
      <c r="W22" s="775">
        <f>J22</f>
        <v>100</v>
      </c>
      <c r="X22" s="1815"/>
      <c r="Y22" s="3156"/>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56"/>
      <c r="Q23" s="1812">
        <f>B23</f>
        <v>111</v>
      </c>
      <c r="R23" s="774" t="s">
        <v>17</v>
      </c>
      <c r="S23" s="775">
        <f>F23</f>
        <v>100</v>
      </c>
      <c r="T23" s="774" t="s">
        <v>17</v>
      </c>
      <c r="U23" s="775">
        <f>H23</f>
        <v>100</v>
      </c>
      <c r="V23" s="774" t="s">
        <v>17</v>
      </c>
      <c r="W23" s="775">
        <f>J23</f>
        <v>100</v>
      </c>
      <c r="X23" s="1815"/>
      <c r="Y23" s="3156"/>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56"/>
      <c r="Q24" s="1812">
        <f t="shared" ref="Q24:Q34" si="11">B24</f>
        <v>111</v>
      </c>
      <c r="R24" s="774" t="s">
        <v>17</v>
      </c>
      <c r="S24" s="775">
        <f>F24</f>
        <v>100</v>
      </c>
      <c r="T24" s="774" t="s">
        <v>17</v>
      </c>
      <c r="U24" s="775">
        <f>H24</f>
        <v>100</v>
      </c>
      <c r="V24" s="774" t="s">
        <v>17</v>
      </c>
      <c r="W24" s="775">
        <f>J24</f>
        <v>100</v>
      </c>
      <c r="X24" s="1815"/>
      <c r="Y24" s="3156"/>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56"/>
      <c r="Q25" s="1797">
        <f t="shared" si="11"/>
        <v>111</v>
      </c>
      <c r="R25" s="770" t="s">
        <v>17</v>
      </c>
      <c r="S25" s="771">
        <f>F25</f>
        <v>100</v>
      </c>
      <c r="T25" s="770" t="s">
        <v>17</v>
      </c>
      <c r="U25" s="771">
        <f>H25</f>
        <v>100</v>
      </c>
      <c r="V25" s="770" t="s">
        <v>17</v>
      </c>
      <c r="W25" s="771">
        <f>J25</f>
        <v>100</v>
      </c>
      <c r="X25" s="772"/>
      <c r="Y25" s="3156"/>
      <c r="Z25" s="55">
        <f>Q25</f>
        <v>111</v>
      </c>
      <c r="AA25" s="1813">
        <f>D25/F25</f>
        <v>1</v>
      </c>
      <c r="AB25" s="1813">
        <f>D25/H25</f>
        <v>1</v>
      </c>
      <c r="AC25" s="1813">
        <f>D25/J25</f>
        <v>1</v>
      </c>
    </row>
    <row r="26" spans="1:29" ht="15">
      <c r="A26" s="466" t="s">
        <v>2519</v>
      </c>
      <c r="B26" s="71" t="s">
        <v>2670</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157"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58"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58"/>
      <c r="Q28" s="1812" t="str">
        <f t="shared" si="11"/>
        <v>物业等级</v>
      </c>
      <c r="R28" s="774" t="s">
        <v>17</v>
      </c>
      <c r="S28" s="775">
        <f t="shared" si="12"/>
        <v>100</v>
      </c>
      <c r="T28" s="774" t="s">
        <v>17</v>
      </c>
      <c r="U28" s="775">
        <f t="shared" si="13"/>
        <v>100</v>
      </c>
      <c r="V28" s="774" t="s">
        <v>17</v>
      </c>
      <c r="W28" s="775">
        <f t="shared" si="14"/>
        <v>100</v>
      </c>
      <c r="X28" s="1815"/>
      <c r="Y28" s="3158"/>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58"/>
      <c r="Q29" s="1812" t="str">
        <f t="shared" si="11"/>
        <v>有无电梯</v>
      </c>
      <c r="R29" s="774" t="s">
        <v>17</v>
      </c>
      <c r="S29" s="775">
        <f t="shared" si="12"/>
        <v>100</v>
      </c>
      <c r="T29" s="774" t="s">
        <v>17</v>
      </c>
      <c r="U29" s="775">
        <f t="shared" si="13"/>
        <v>100</v>
      </c>
      <c r="V29" s="774" t="s">
        <v>17</v>
      </c>
      <c r="W29" s="775">
        <f t="shared" si="14"/>
        <v>100</v>
      </c>
      <c r="X29" s="1815"/>
      <c r="Y29" s="3158"/>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58"/>
      <c r="Q30" s="1812" t="str">
        <f t="shared" si="11"/>
        <v>建筑面积</v>
      </c>
      <c r="R30" s="774" t="s">
        <v>17</v>
      </c>
      <c r="S30" s="775" t="e">
        <f t="shared" si="12"/>
        <v>#N/A</v>
      </c>
      <c r="T30" s="774" t="s">
        <v>17</v>
      </c>
      <c r="U30" s="775" t="e">
        <f t="shared" si="13"/>
        <v>#N/A</v>
      </c>
      <c r="V30" s="774" t="s">
        <v>17</v>
      </c>
      <c r="W30" s="775" t="e">
        <f t="shared" si="14"/>
        <v>#N/A</v>
      </c>
      <c r="X30" s="1815"/>
      <c r="Y30" s="3158"/>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58"/>
      <c r="Q31" s="1797"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58" t="s">
        <v>2521</v>
      </c>
      <c r="Q32" s="1812">
        <f t="shared" si="11"/>
        <v>111</v>
      </c>
      <c r="R32" s="774" t="s">
        <v>17</v>
      </c>
      <c r="S32" s="775">
        <f t="shared" si="12"/>
        <v>100</v>
      </c>
      <c r="T32" s="774" t="s">
        <v>17</v>
      </c>
      <c r="U32" s="775">
        <f t="shared" si="13"/>
        <v>100</v>
      </c>
      <c r="V32" s="774" t="s">
        <v>17</v>
      </c>
      <c r="W32" s="775">
        <f t="shared" si="14"/>
        <v>100</v>
      </c>
      <c r="X32" s="1815"/>
      <c r="Y32" s="3158" t="s">
        <v>2521</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58"/>
      <c r="Q33" s="1812">
        <f t="shared" si="11"/>
        <v>111</v>
      </c>
      <c r="R33" s="774" t="s">
        <v>17</v>
      </c>
      <c r="S33" s="775">
        <f t="shared" si="12"/>
        <v>100</v>
      </c>
      <c r="T33" s="774" t="s">
        <v>17</v>
      </c>
      <c r="U33" s="775">
        <f t="shared" si="13"/>
        <v>100</v>
      </c>
      <c r="V33" s="774" t="s">
        <v>17</v>
      </c>
      <c r="W33" s="775">
        <f t="shared" si="14"/>
        <v>100</v>
      </c>
      <c r="X33" s="1815"/>
      <c r="Y33" s="315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58"/>
      <c r="Q34" s="1812">
        <f t="shared" si="11"/>
        <v>111</v>
      </c>
      <c r="R34" s="774" t="s">
        <v>17</v>
      </c>
      <c r="S34" s="775">
        <f t="shared" si="12"/>
        <v>100</v>
      </c>
      <c r="T34" s="774" t="s">
        <v>17</v>
      </c>
      <c r="U34" s="775">
        <f t="shared" si="13"/>
        <v>100</v>
      </c>
      <c r="V34" s="774" t="s">
        <v>17</v>
      </c>
      <c r="W34" s="775">
        <f t="shared" si="14"/>
        <v>100</v>
      </c>
      <c r="X34" s="1815"/>
      <c r="Y34" s="3158"/>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152" t="str">
        <f>A35</f>
        <v>成交单价（元/平方米）</v>
      </c>
      <c r="Q35" s="3152"/>
      <c r="R35" s="3228">
        <f>E35</f>
        <v>0</v>
      </c>
      <c r="S35" s="3228"/>
      <c r="T35" s="3228">
        <f>G35</f>
        <v>0</v>
      </c>
      <c r="U35" s="3228"/>
      <c r="V35" s="3228">
        <f>I35</f>
        <v>0</v>
      </c>
      <c r="W35" s="3228"/>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152" t="str">
        <f>A36</f>
        <v>比较价值（元/平方米）</v>
      </c>
      <c r="Q36" s="3152"/>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149" t="str">
        <f>A37</f>
        <v>估价对象XX用房的比较价值（楼面单价，元/平方米）</v>
      </c>
      <c r="Q37" s="3150"/>
      <c r="R37" s="3227" t="e">
        <f>IF(F1="售价",ROUND(AVERAGE(R36:V36),0),ROUND(AVERAGE(R36:V36),1))</f>
        <v>#DIV/0!</v>
      </c>
      <c r="S37" s="3227"/>
      <c r="T37" s="3227"/>
      <c r="U37" s="3227"/>
      <c r="V37" s="3227"/>
      <c r="W37" s="322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162" t="s">
        <v>2602</v>
      </c>
      <c r="D4" s="3163"/>
      <c r="E4" s="3164" t="s">
        <v>2603</v>
      </c>
      <c r="F4" s="3165"/>
      <c r="G4" s="3162" t="s">
        <v>2604</v>
      </c>
      <c r="H4" s="3163"/>
      <c r="I4" s="3162" t="s">
        <v>2605</v>
      </c>
      <c r="J4" s="3163"/>
      <c r="K4" s="610" t="s">
        <v>2606</v>
      </c>
      <c r="L4" s="1132"/>
      <c r="M4" s="1133"/>
      <c r="N4" s="1133"/>
      <c r="O4" s="1133"/>
      <c r="P4" s="3166" t="s">
        <v>2607</v>
      </c>
      <c r="Q4" s="3167"/>
      <c r="R4" s="3179" t="s">
        <v>2603</v>
      </c>
      <c r="S4" s="3180"/>
      <c r="T4" s="3179" t="s">
        <v>2604</v>
      </c>
      <c r="U4" s="3180"/>
      <c r="V4" s="3154" t="s">
        <v>2605</v>
      </c>
      <c r="W4" s="3154"/>
      <c r="X4" s="1815"/>
      <c r="Y4" s="3179" t="s">
        <v>2607</v>
      </c>
      <c r="Z4" s="3180"/>
      <c r="AA4" s="3159" t="s">
        <v>2603</v>
      </c>
      <c r="AB4" s="3160" t="s">
        <v>2604</v>
      </c>
      <c r="AC4" s="3159" t="s">
        <v>2605</v>
      </c>
    </row>
    <row r="5" spans="1:30" ht="15">
      <c r="A5" s="404"/>
      <c r="B5" s="405"/>
      <c r="C5" s="3183" t="s">
        <v>2498</v>
      </c>
      <c r="D5" s="3184"/>
      <c r="E5" s="3172" t="s">
        <v>2499</v>
      </c>
      <c r="F5" s="3173"/>
      <c r="G5" s="3183" t="s">
        <v>2500</v>
      </c>
      <c r="H5" s="3184"/>
      <c r="I5" s="3183" t="s">
        <v>2501</v>
      </c>
      <c r="J5" s="3184"/>
      <c r="K5" s="610"/>
      <c r="L5" s="1132"/>
      <c r="M5" s="1133"/>
      <c r="N5" s="1133"/>
      <c r="O5" s="1133"/>
      <c r="P5" s="3168"/>
      <c r="Q5" s="3169"/>
      <c r="R5" s="3181"/>
      <c r="S5" s="3182"/>
      <c r="T5" s="3181"/>
      <c r="U5" s="3182"/>
      <c r="V5" s="3154"/>
      <c r="W5" s="3154"/>
      <c r="X5" s="1815"/>
      <c r="Y5" s="3181"/>
      <c r="Z5" s="3182"/>
      <c r="AA5" s="3160"/>
      <c r="AB5" s="3160"/>
      <c r="AC5" s="3160"/>
    </row>
    <row r="6" spans="1:30" ht="15.75" thickBot="1">
      <c r="A6" s="406"/>
      <c r="B6" s="407"/>
      <c r="C6" s="3223" t="s">
        <v>2502</v>
      </c>
      <c r="D6" s="3224"/>
      <c r="E6" s="3225" t="s">
        <v>2502</v>
      </c>
      <c r="F6" s="3226"/>
      <c r="G6" s="3223" t="s">
        <v>2502</v>
      </c>
      <c r="H6" s="3224"/>
      <c r="I6" s="3223" t="s">
        <v>2502</v>
      </c>
      <c r="J6" s="3224"/>
      <c r="K6" s="610" t="s">
        <v>2503</v>
      </c>
      <c r="L6" s="1132"/>
      <c r="M6" s="1133"/>
      <c r="N6" s="1133"/>
      <c r="O6" s="1133"/>
      <c r="P6" s="3170"/>
      <c r="Q6" s="3171"/>
      <c r="R6" s="3181"/>
      <c r="S6" s="3182"/>
      <c r="T6" s="3191"/>
      <c r="U6" s="3192"/>
      <c r="V6" s="3154"/>
      <c r="W6" s="3154"/>
      <c r="X6" s="1815"/>
      <c r="Y6" s="3191"/>
      <c r="Z6" s="3192"/>
      <c r="AA6" s="3161"/>
      <c r="AB6" s="3161"/>
      <c r="AC6" s="3161"/>
    </row>
    <row r="7" spans="1:30" s="117" customFormat="1" ht="15.75" thickBot="1">
      <c r="A7" s="408" t="s">
        <v>2504</v>
      </c>
      <c r="B7" s="409"/>
      <c r="C7" s="410">
        <f>'数据-取费表'!B2</f>
        <v>43245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74" t="s">
        <v>2505</v>
      </c>
      <c r="Q7" s="3187"/>
      <c r="R7" s="770" t="s">
        <v>17</v>
      </c>
      <c r="S7" s="771">
        <f t="shared" ref="S7:S15" si="0">F7</f>
        <v>0</v>
      </c>
      <c r="T7" s="770" t="s">
        <v>17</v>
      </c>
      <c r="U7" s="771">
        <f t="shared" ref="U7:U15" si="1">H7</f>
        <v>0</v>
      </c>
      <c r="V7" s="770" t="s">
        <v>17</v>
      </c>
      <c r="W7" s="771">
        <f t="shared" ref="W7:W15" si="2">J7</f>
        <v>0</v>
      </c>
      <c r="X7" s="772"/>
      <c r="Y7" s="3174" t="s">
        <v>2505</v>
      </c>
      <c r="Z7" s="3175"/>
      <c r="AA7" s="773" t="e">
        <f>D7/F7</f>
        <v>#DIV/0!</v>
      </c>
      <c r="AB7" s="773" t="e">
        <f>D7/H7</f>
        <v>#DIV/0!</v>
      </c>
      <c r="AC7" s="773" t="e">
        <f>D7/J7</f>
        <v>#DIV/0!</v>
      </c>
    </row>
    <row r="8" spans="1:30" s="117" customFormat="1" ht="15.7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4" t="s">
        <v>2508</v>
      </c>
      <c r="Q8" s="3175"/>
      <c r="R8" s="770" t="s">
        <v>17</v>
      </c>
      <c r="S8" s="771">
        <f t="shared" si="0"/>
        <v>0</v>
      </c>
      <c r="T8" s="770" t="s">
        <v>17</v>
      </c>
      <c r="U8" s="771">
        <f t="shared" si="1"/>
        <v>0</v>
      </c>
      <c r="V8" s="770" t="s">
        <v>17</v>
      </c>
      <c r="W8" s="771">
        <f t="shared" si="2"/>
        <v>0</v>
      </c>
      <c r="X8" s="772"/>
      <c r="Y8" s="3174" t="s">
        <v>2508</v>
      </c>
      <c r="Z8" s="3175"/>
      <c r="AA8" s="773" t="e">
        <f t="shared" ref="AA8:AA45" si="3">D8/F8</f>
        <v>#DIV/0!</v>
      </c>
      <c r="AB8" s="773" t="e">
        <f t="shared" ref="AB8:AB45" si="4">D8/H8</f>
        <v>#DIV/0!</v>
      </c>
      <c r="AC8" s="773" t="e">
        <f t="shared" ref="AC8:AC45" si="5">D8/J8</f>
        <v>#DIV/0!</v>
      </c>
    </row>
    <row r="9" spans="1:30" s="117" customFormat="1">
      <c r="A9" s="415" t="s">
        <v>2509</v>
      </c>
      <c r="B9" s="71" t="s">
        <v>2510</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52" t="s">
        <v>2511</v>
      </c>
      <c r="Q9" s="1797" t="str">
        <f t="shared" ref="Q9:Q15" si="6">B9</f>
        <v>用途</v>
      </c>
      <c r="R9" s="770" t="s">
        <v>17</v>
      </c>
      <c r="S9" s="771">
        <f t="shared" si="0"/>
        <v>100</v>
      </c>
      <c r="T9" s="770" t="s">
        <v>17</v>
      </c>
      <c r="U9" s="771">
        <f t="shared" si="1"/>
        <v>100</v>
      </c>
      <c r="V9" s="770" t="s">
        <v>17</v>
      </c>
      <c r="W9" s="771">
        <f t="shared" si="2"/>
        <v>100</v>
      </c>
      <c r="X9" s="772"/>
      <c r="Y9" s="3029" t="s">
        <v>2512</v>
      </c>
      <c r="Z9" s="55" t="str">
        <f t="shared" ref="Z9:Z15" si="7">Q9</f>
        <v>用途</v>
      </c>
      <c r="AA9" s="773">
        <f t="shared" si="3"/>
        <v>1</v>
      </c>
      <c r="AB9" s="773">
        <f t="shared" si="4"/>
        <v>1</v>
      </c>
      <c r="AC9" s="773">
        <f t="shared" si="5"/>
        <v>1</v>
      </c>
    </row>
    <row r="10" spans="1:30" s="427" customFormat="1" ht="27">
      <c r="A10" s="421"/>
      <c r="B10" s="422" t="s">
        <v>2513</v>
      </c>
      <c r="C10" s="432"/>
      <c r="D10" s="136">
        <v>100</v>
      </c>
      <c r="E10" s="465"/>
      <c r="F10" s="136">
        <f>ROUND(100/'数据-取费表'!G16,0)</f>
        <v>111</v>
      </c>
      <c r="G10" s="463"/>
      <c r="H10" s="136">
        <f>ROUND(100/'数据-取费表'!G16,0)</f>
        <v>111</v>
      </c>
      <c r="I10" s="463"/>
      <c r="J10" s="136">
        <f>ROUND(100/'数据-取费表'!G16,0)</f>
        <v>111</v>
      </c>
      <c r="K10" s="672"/>
      <c r="L10" s="1137"/>
      <c r="M10" s="1138"/>
      <c r="N10" s="1138"/>
      <c r="O10" s="1139"/>
      <c r="P10" s="3152"/>
      <c r="Q10" s="1797" t="str">
        <f t="shared" si="6"/>
        <v>土地使用年限（年）</v>
      </c>
      <c r="R10" s="770" t="s">
        <v>17</v>
      </c>
      <c r="S10" s="771">
        <f t="shared" si="0"/>
        <v>111</v>
      </c>
      <c r="T10" s="770" t="s">
        <v>17</v>
      </c>
      <c r="U10" s="771">
        <f t="shared" si="1"/>
        <v>111</v>
      </c>
      <c r="V10" s="770" t="s">
        <v>17</v>
      </c>
      <c r="W10" s="771">
        <f t="shared" si="2"/>
        <v>111</v>
      </c>
      <c r="X10" s="772"/>
      <c r="Y10" s="3029"/>
      <c r="Z10" s="55" t="str">
        <f t="shared" si="7"/>
        <v>土地使用年限（年）</v>
      </c>
      <c r="AA10" s="773">
        <f t="shared" si="3"/>
        <v>0.90090090090090091</v>
      </c>
      <c r="AB10" s="773">
        <f t="shared" si="4"/>
        <v>0.90090090090090091</v>
      </c>
      <c r="AC10" s="773">
        <f t="shared" si="5"/>
        <v>0.90090090090090091</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2"/>
      <c r="Q11" s="1797"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0"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2"/>
      <c r="Q12" s="1797"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2"/>
      <c r="Q13" s="1797">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2"/>
      <c r="Q14" s="1797">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2515</v>
      </c>
      <c r="B15" s="69" t="s">
        <v>2046</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55" t="s">
        <v>2516</v>
      </c>
      <c r="Q15" s="1812" t="str">
        <f t="shared" si="6"/>
        <v>居住社区成熟度</v>
      </c>
      <c r="R15" s="774" t="s">
        <v>17</v>
      </c>
      <c r="S15" s="775">
        <f t="shared" si="0"/>
        <v>100</v>
      </c>
      <c r="T15" s="774" t="s">
        <v>17</v>
      </c>
      <c r="U15" s="775">
        <f t="shared" si="1"/>
        <v>100</v>
      </c>
      <c r="V15" s="774" t="s">
        <v>17</v>
      </c>
      <c r="W15" s="775">
        <f t="shared" si="2"/>
        <v>100</v>
      </c>
      <c r="X15" s="1815"/>
      <c r="Y15" s="3155" t="s">
        <v>2516</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156"/>
      <c r="Q16" s="1812"/>
      <c r="R16" s="774"/>
      <c r="S16" s="775"/>
      <c r="T16" s="774"/>
      <c r="U16" s="775"/>
      <c r="V16" s="774"/>
      <c r="W16" s="775"/>
      <c r="X16" s="1815"/>
      <c r="Y16" s="3156"/>
      <c r="Z16" s="1816"/>
      <c r="AA16" s="1813">
        <v>1</v>
      </c>
      <c r="AB16" s="1813">
        <v>1</v>
      </c>
      <c r="AC16" s="1813">
        <v>1</v>
      </c>
    </row>
    <row r="17" spans="1:29" ht="71.25">
      <c r="A17" s="428"/>
      <c r="B17" s="451" t="s">
        <v>2609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56"/>
      <c r="Q17" s="1812" t="str">
        <f>B17</f>
        <v>商业繁华度</v>
      </c>
      <c r="R17" s="774" t="s">
        <v>17</v>
      </c>
      <c r="S17" s="775">
        <f>F17</f>
        <v>100</v>
      </c>
      <c r="T17" s="774" t="s">
        <v>17</v>
      </c>
      <c r="U17" s="775">
        <f>H17</f>
        <v>100</v>
      </c>
      <c r="V17" s="774" t="s">
        <v>17</v>
      </c>
      <c r="W17" s="775">
        <f>J17</f>
        <v>100</v>
      </c>
      <c r="X17" s="1815"/>
      <c r="Y17" s="3156"/>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156"/>
      <c r="Q18" s="1812"/>
      <c r="R18" s="774"/>
      <c r="S18" s="775"/>
      <c r="T18" s="774"/>
      <c r="U18" s="775"/>
      <c r="V18" s="774"/>
      <c r="W18" s="775"/>
      <c r="X18" s="1815"/>
      <c r="Y18" s="3156"/>
      <c r="Z18" s="1816"/>
      <c r="AA18" s="1813">
        <v>1</v>
      </c>
      <c r="AB18" s="1813">
        <v>1</v>
      </c>
      <c r="AC18" s="1813">
        <v>1</v>
      </c>
    </row>
    <row r="19" spans="1:29" ht="71.25">
      <c r="A19" s="428"/>
      <c r="B19" s="451" t="s">
        <v>2643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56"/>
      <c r="Q19" s="1812" t="str">
        <f>B19</f>
        <v>办公集聚程度</v>
      </c>
      <c r="R19" s="774" t="s">
        <v>17</v>
      </c>
      <c r="S19" s="775">
        <f>F19</f>
        <v>100</v>
      </c>
      <c r="T19" s="774" t="s">
        <v>17</v>
      </c>
      <c r="U19" s="775">
        <f>H19</f>
        <v>100</v>
      </c>
      <c r="V19" s="774" t="s">
        <v>17</v>
      </c>
      <c r="W19" s="775">
        <f>J19</f>
        <v>100</v>
      </c>
      <c r="X19" s="1815"/>
      <c r="Y19" s="3156"/>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156"/>
      <c r="Q20" s="1812"/>
      <c r="R20" s="774"/>
      <c r="S20" s="775"/>
      <c r="T20" s="774"/>
      <c r="U20" s="775"/>
      <c r="V20" s="774"/>
      <c r="W20" s="775"/>
      <c r="X20" s="1815"/>
      <c r="Y20" s="3156"/>
      <c r="Z20" s="1816"/>
      <c r="AA20" s="1813">
        <v>1</v>
      </c>
      <c r="AB20" s="1813">
        <v>1</v>
      </c>
      <c r="AC20" s="1813">
        <v>1</v>
      </c>
    </row>
    <row r="21" spans="1:29" ht="85.5">
      <c r="A21" s="428"/>
      <c r="B21" s="451" t="s">
        <v>2665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56"/>
      <c r="Q21" s="1812" t="str">
        <f>B21</f>
        <v>交通便捷度</v>
      </c>
      <c r="R21" s="774" t="s">
        <v>17</v>
      </c>
      <c r="S21" s="775">
        <f>F21</f>
        <v>100</v>
      </c>
      <c r="T21" s="774" t="s">
        <v>17</v>
      </c>
      <c r="U21" s="775">
        <f>H21</f>
        <v>100</v>
      </c>
      <c r="V21" s="774" t="s">
        <v>17</v>
      </c>
      <c r="W21" s="775">
        <f>J21</f>
        <v>100</v>
      </c>
      <c r="X21" s="1815"/>
      <c r="Y21" s="3156"/>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156"/>
      <c r="Q22" s="1812"/>
      <c r="R22" s="774"/>
      <c r="S22" s="775"/>
      <c r="T22" s="774"/>
      <c r="U22" s="775"/>
      <c r="V22" s="774"/>
      <c r="W22" s="775"/>
      <c r="X22" s="1815"/>
      <c r="Y22" s="3156"/>
      <c r="Z22" s="1816"/>
      <c r="AA22" s="1813">
        <v>1</v>
      </c>
      <c r="AB22" s="1813">
        <v>1</v>
      </c>
      <c r="AC22" s="1813">
        <v>1</v>
      </c>
    </row>
    <row r="23" spans="1:29" ht="15">
      <c r="A23" s="404"/>
      <c r="B23" s="451" t="s">
        <v>2704</v>
      </c>
      <c r="C23" s="1391"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56"/>
      <c r="Q23" s="1812" t="str">
        <f t="shared" ref="Q23:Q37" si="8">B23</f>
        <v>区域土地利用方向</v>
      </c>
      <c r="R23" s="774" t="s">
        <v>17</v>
      </c>
      <c r="S23" s="775">
        <f>F23</f>
        <v>100</v>
      </c>
      <c r="T23" s="774" t="s">
        <v>17</v>
      </c>
      <c r="U23" s="775">
        <f>H23</f>
        <v>100</v>
      </c>
      <c r="V23" s="774" t="s">
        <v>17</v>
      </c>
      <c r="W23" s="775">
        <f>J23</f>
        <v>100</v>
      </c>
      <c r="X23" s="1815"/>
      <c r="Y23" s="3156"/>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2"/>
      <c r="M24" s="1133"/>
      <c r="N24" s="1133"/>
      <c r="O24" s="1141"/>
      <c r="P24" s="3156"/>
      <c r="Q24" s="1812"/>
      <c r="R24" s="774"/>
      <c r="S24" s="775"/>
      <c r="T24" s="774"/>
      <c r="U24" s="775"/>
      <c r="V24" s="774"/>
      <c r="W24" s="775"/>
      <c r="X24" s="1815"/>
      <c r="Y24" s="3156"/>
      <c r="Z24" s="1816"/>
      <c r="AA24" s="1813"/>
      <c r="AB24" s="1813"/>
      <c r="AC24" s="1813"/>
    </row>
    <row r="25" spans="1:29" ht="57">
      <c r="A25" s="404"/>
      <c r="B25" s="1386" t="s">
        <v>2705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56"/>
      <c r="Q25" s="1812" t="str">
        <f t="shared" si="8"/>
        <v>自然及人文环境状况</v>
      </c>
      <c r="R25" s="774" t="s">
        <v>17</v>
      </c>
      <c r="S25" s="775">
        <f>F25</f>
        <v>100</v>
      </c>
      <c r="T25" s="774" t="s">
        <v>17</v>
      </c>
      <c r="U25" s="775">
        <f>H25</f>
        <v>100</v>
      </c>
      <c r="V25" s="774" t="s">
        <v>17</v>
      </c>
      <c r="W25" s="775">
        <f>J25</f>
        <v>100</v>
      </c>
      <c r="X25" s="1815"/>
      <c r="Y25" s="3156"/>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156"/>
      <c r="Q26" s="1812"/>
      <c r="R26" s="774"/>
      <c r="S26" s="775"/>
      <c r="T26" s="774"/>
      <c r="U26" s="775"/>
      <c r="V26" s="774"/>
      <c r="W26" s="775"/>
      <c r="X26" s="1815"/>
      <c r="Y26" s="3156"/>
      <c r="Z26" s="1816"/>
      <c r="AA26" s="1813">
        <v>1</v>
      </c>
      <c r="AB26" s="1813">
        <v>1</v>
      </c>
      <c r="AC26" s="1813">
        <v>1</v>
      </c>
    </row>
    <row r="27" spans="1:29" s="117" customFormat="1" ht="42.75">
      <c r="A27" s="649"/>
      <c r="B27" s="1386" t="s">
        <v>2610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56"/>
      <c r="Q27" s="1797" t="str">
        <f t="shared" si="8"/>
        <v>公共配套设施</v>
      </c>
      <c r="R27" s="770" t="s">
        <v>17</v>
      </c>
      <c r="S27" s="771">
        <f>F27</f>
        <v>100</v>
      </c>
      <c r="T27" s="770" t="s">
        <v>17</v>
      </c>
      <c r="U27" s="771">
        <f>H27</f>
        <v>100</v>
      </c>
      <c r="V27" s="770" t="s">
        <v>17</v>
      </c>
      <c r="W27" s="771">
        <f>J27</f>
        <v>100</v>
      </c>
      <c r="X27" s="772"/>
      <c r="Y27" s="3156"/>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156"/>
      <c r="Q28" s="1797"/>
      <c r="R28" s="770"/>
      <c r="S28" s="771"/>
      <c r="T28" s="770"/>
      <c r="U28" s="771"/>
      <c r="V28" s="770"/>
      <c r="W28" s="771"/>
      <c r="X28" s="772"/>
      <c r="Y28" s="3156"/>
      <c r="Z28" s="55"/>
      <c r="AA28" s="1813">
        <v>1</v>
      </c>
      <c r="AB28" s="1813">
        <v>1</v>
      </c>
      <c r="AC28" s="1813">
        <v>1</v>
      </c>
    </row>
    <row r="29" spans="1:29" s="117" customFormat="1" ht="28.5">
      <c r="A29" s="649"/>
      <c r="B29" s="1386" t="s">
        <v>2611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56"/>
      <c r="Q29" s="1797" t="str">
        <f t="shared" ref="Q29" si="9">B29</f>
        <v>基础设施水平</v>
      </c>
      <c r="R29" s="770" t="s">
        <v>17</v>
      </c>
      <c r="S29" s="771">
        <f>F29</f>
        <v>100</v>
      </c>
      <c r="T29" s="770" t="s">
        <v>17</v>
      </c>
      <c r="U29" s="771">
        <f>H29</f>
        <v>100</v>
      </c>
      <c r="V29" s="770" t="s">
        <v>17</v>
      </c>
      <c r="W29" s="771">
        <f>J29</f>
        <v>100</v>
      </c>
      <c r="X29" s="772"/>
      <c r="Y29" s="3156"/>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156"/>
      <c r="Q30" s="1797"/>
      <c r="R30" s="770"/>
      <c r="S30" s="771"/>
      <c r="T30" s="770"/>
      <c r="U30" s="771"/>
      <c r="V30" s="770"/>
      <c r="W30" s="771"/>
      <c r="X30" s="772"/>
      <c r="Y30" s="3156"/>
      <c r="Z30" s="55"/>
      <c r="AA30" s="1813">
        <v>1</v>
      </c>
      <c r="AB30" s="1813">
        <v>1</v>
      </c>
      <c r="AC30" s="1813">
        <v>1</v>
      </c>
    </row>
    <row r="31" spans="1:29" ht="15">
      <c r="A31" s="428"/>
      <c r="B31" s="456" t="s">
        <v>2612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5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56"/>
      <c r="Z31" s="1816" t="str">
        <f t="shared" ref="Z31:Z45" si="13">Q31</f>
        <v>临街状况</v>
      </c>
      <c r="AA31" s="1813">
        <f t="shared" si="3"/>
        <v>1</v>
      </c>
      <c r="AB31" s="1813">
        <f t="shared" si="4"/>
        <v>1</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56"/>
      <c r="Q32" s="1812" t="str">
        <f t="shared" si="8"/>
        <v>毗邻道路的类型与等级</v>
      </c>
      <c r="R32" s="774" t="s">
        <v>17</v>
      </c>
      <c r="S32" s="775">
        <f t="shared" si="10"/>
        <v>100</v>
      </c>
      <c r="T32" s="774" t="s">
        <v>17</v>
      </c>
      <c r="U32" s="775">
        <f t="shared" si="11"/>
        <v>100</v>
      </c>
      <c r="V32" s="774" t="s">
        <v>17</v>
      </c>
      <c r="W32" s="775">
        <f t="shared" si="12"/>
        <v>100</v>
      </c>
      <c r="X32" s="1815"/>
      <c r="Y32" s="3156"/>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156"/>
      <c r="Q33" s="1812"/>
      <c r="R33" s="774"/>
      <c r="S33" s="775"/>
      <c r="T33" s="774"/>
      <c r="U33" s="775"/>
      <c r="V33" s="774"/>
      <c r="W33" s="775"/>
      <c r="X33" s="1815"/>
      <c r="Y33" s="3156"/>
      <c r="Z33" s="1816"/>
      <c r="AA33" s="1813">
        <v>1</v>
      </c>
      <c r="AB33" s="1813">
        <v>1</v>
      </c>
      <c r="AC33" s="1813">
        <v>1</v>
      </c>
    </row>
    <row r="34" spans="1:29" ht="15">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56"/>
      <c r="Q34" s="1812" t="str">
        <f t="shared" si="8"/>
        <v>土地级别</v>
      </c>
      <c r="R34" s="774" t="s">
        <v>17</v>
      </c>
      <c r="S34" s="775">
        <f t="shared" si="10"/>
        <v>100</v>
      </c>
      <c r="T34" s="774" t="s">
        <v>17</v>
      </c>
      <c r="U34" s="775">
        <f t="shared" si="11"/>
        <v>100</v>
      </c>
      <c r="V34" s="774" t="s">
        <v>17</v>
      </c>
      <c r="W34" s="775">
        <f t="shared" si="12"/>
        <v>100</v>
      </c>
      <c r="X34" s="1815"/>
      <c r="Y34" s="315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56"/>
      <c r="Q35" s="1812">
        <f t="shared" si="8"/>
        <v>111</v>
      </c>
      <c r="R35" s="774" t="s">
        <v>17</v>
      </c>
      <c r="S35" s="775">
        <f t="shared" si="10"/>
        <v>100</v>
      </c>
      <c r="T35" s="774" t="s">
        <v>17</v>
      </c>
      <c r="U35" s="775">
        <f t="shared" si="11"/>
        <v>100</v>
      </c>
      <c r="V35" s="774" t="s">
        <v>17</v>
      </c>
      <c r="W35" s="775">
        <f t="shared" si="12"/>
        <v>100</v>
      </c>
      <c r="X35" s="1815"/>
      <c r="Y35" s="315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57" t="s">
        <v>2521</v>
      </c>
      <c r="Q36" s="1812">
        <f t="shared" si="8"/>
        <v>111</v>
      </c>
      <c r="R36" s="774" t="s">
        <v>17</v>
      </c>
      <c r="S36" s="775">
        <f t="shared" si="10"/>
        <v>100</v>
      </c>
      <c r="T36" s="774" t="s">
        <v>17</v>
      </c>
      <c r="U36" s="775">
        <f t="shared" si="11"/>
        <v>100</v>
      </c>
      <c r="V36" s="774" t="s">
        <v>17</v>
      </c>
      <c r="W36" s="775">
        <f t="shared" si="12"/>
        <v>100</v>
      </c>
      <c r="X36" s="1815"/>
      <c r="Y36" s="3158" t="s">
        <v>2521</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58"/>
      <c r="Q37" s="1812">
        <f t="shared" si="8"/>
        <v>111</v>
      </c>
      <c r="R37" s="777" t="s">
        <v>17</v>
      </c>
      <c r="S37" s="778">
        <f t="shared" si="10"/>
        <v>100</v>
      </c>
      <c r="T37" s="777" t="s">
        <v>17</v>
      </c>
      <c r="U37" s="778">
        <f t="shared" si="11"/>
        <v>100</v>
      </c>
      <c r="V37" s="777" t="s">
        <v>17</v>
      </c>
      <c r="W37" s="778">
        <f t="shared" si="12"/>
        <v>100</v>
      </c>
      <c r="X37" s="779"/>
      <c r="Y37" s="3158"/>
      <c r="Z37" s="780">
        <f t="shared" si="13"/>
        <v>111</v>
      </c>
      <c r="AA37" s="1813">
        <f t="shared" si="3"/>
        <v>1</v>
      </c>
      <c r="AB37" s="1813">
        <f t="shared" si="4"/>
        <v>1</v>
      </c>
      <c r="AC37" s="1813">
        <f t="shared" si="5"/>
        <v>1</v>
      </c>
    </row>
    <row r="38" spans="1:29" ht="15">
      <c r="A38" s="472" t="s">
        <v>2519</v>
      </c>
      <c r="B38" s="456" t="s">
        <v>2707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58"/>
      <c r="Q38" s="1812" t="str">
        <f>B38</f>
        <v>宗地面积</v>
      </c>
      <c r="R38" s="774" t="s">
        <v>17</v>
      </c>
      <c r="S38" s="775" t="e">
        <f t="shared" si="10"/>
        <v>#N/A</v>
      </c>
      <c r="T38" s="774" t="s">
        <v>17</v>
      </c>
      <c r="U38" s="775" t="e">
        <f t="shared" si="11"/>
        <v>#N/A</v>
      </c>
      <c r="V38" s="774" t="s">
        <v>17</v>
      </c>
      <c r="W38" s="775" t="e">
        <f t="shared" si="12"/>
        <v>#N/A</v>
      </c>
      <c r="X38" s="1815"/>
      <c r="Y38" s="3158"/>
      <c r="Z38" s="1816" t="str">
        <f t="shared" si="13"/>
        <v>宗地面积</v>
      </c>
      <c r="AA38" s="1813" t="e">
        <f t="shared" si="3"/>
        <v>#N/A</v>
      </c>
      <c r="AB38" s="1813" t="e">
        <f t="shared" si="4"/>
        <v>#N/A</v>
      </c>
      <c r="AC38" s="1813" t="e">
        <f t="shared" si="5"/>
        <v>#N/A</v>
      </c>
    </row>
    <row r="39" spans="1:29" ht="15">
      <c r="A39" s="472"/>
      <c r="B39" s="422" t="s">
        <v>2708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58"/>
      <c r="Q39" s="1812" t="str">
        <f t="shared" ref="Q39:Q45" si="14">B39</f>
        <v>宗地形状</v>
      </c>
      <c r="R39" s="774" t="s">
        <v>17</v>
      </c>
      <c r="S39" s="775">
        <f t="shared" si="10"/>
        <v>100</v>
      </c>
      <c r="T39" s="774" t="s">
        <v>17</v>
      </c>
      <c r="U39" s="775">
        <f t="shared" si="11"/>
        <v>100</v>
      </c>
      <c r="V39" s="774" t="s">
        <v>17</v>
      </c>
      <c r="W39" s="775">
        <f t="shared" si="12"/>
        <v>100</v>
      </c>
      <c r="X39" s="1815"/>
      <c r="Y39" s="3158"/>
      <c r="Z39" s="1816" t="str">
        <f t="shared" si="13"/>
        <v>宗地形状</v>
      </c>
      <c r="AA39" s="1813">
        <f t="shared" si="3"/>
        <v>1</v>
      </c>
      <c r="AB39" s="1813">
        <f t="shared" si="4"/>
        <v>1</v>
      </c>
      <c r="AC39" s="1813">
        <f t="shared" si="5"/>
        <v>1</v>
      </c>
    </row>
    <row r="40" spans="1:29" ht="15">
      <c r="A40" s="472"/>
      <c r="B40" s="422" t="s">
        <v>2709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58"/>
      <c r="Q40" s="1812" t="str">
        <f t="shared" si="14"/>
        <v>临街宽度及深度</v>
      </c>
      <c r="R40" s="774" t="s">
        <v>17</v>
      </c>
      <c r="S40" s="775">
        <f t="shared" si="10"/>
        <v>100</v>
      </c>
      <c r="T40" s="774" t="s">
        <v>17</v>
      </c>
      <c r="U40" s="775">
        <f t="shared" si="11"/>
        <v>100</v>
      </c>
      <c r="V40" s="774" t="s">
        <v>17</v>
      </c>
      <c r="W40" s="775">
        <f t="shared" si="12"/>
        <v>100</v>
      </c>
      <c r="X40" s="1815"/>
      <c r="Y40" s="3158"/>
      <c r="Z40" s="1816" t="str">
        <f t="shared" si="13"/>
        <v>临街宽度及深度</v>
      </c>
      <c r="AA40" s="1813">
        <f t="shared" si="3"/>
        <v>1</v>
      </c>
      <c r="AB40" s="1813">
        <f t="shared" si="4"/>
        <v>1</v>
      </c>
      <c r="AC40" s="1813">
        <f t="shared" si="5"/>
        <v>1</v>
      </c>
    </row>
    <row r="41" spans="1:29" s="117" customFormat="1" ht="15">
      <c r="A41" s="473"/>
      <c r="B41" s="422" t="s">
        <v>2710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58"/>
      <c r="Q41" s="1812"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
      <c r="A42" s="472"/>
      <c r="B42" s="422" t="s">
        <v>2711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58" t="s">
        <v>2521</v>
      </c>
      <c r="Q42" s="1812" t="str">
        <f t="shared" si="14"/>
        <v>工程地质条件</v>
      </c>
      <c r="R42" s="774" t="s">
        <v>17</v>
      </c>
      <c r="S42" s="775">
        <f t="shared" si="10"/>
        <v>100</v>
      </c>
      <c r="T42" s="774" t="s">
        <v>17</v>
      </c>
      <c r="U42" s="775">
        <f t="shared" si="11"/>
        <v>100</v>
      </c>
      <c r="V42" s="774" t="s">
        <v>17</v>
      </c>
      <c r="W42" s="775">
        <f t="shared" si="12"/>
        <v>100</v>
      </c>
      <c r="X42" s="1815"/>
      <c r="Y42" s="3158" t="s">
        <v>2521</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58"/>
      <c r="Q43" s="1812">
        <f t="shared" si="14"/>
        <v>111</v>
      </c>
      <c r="R43" s="774" t="s">
        <v>17</v>
      </c>
      <c r="S43" s="775">
        <f t="shared" si="10"/>
        <v>100</v>
      </c>
      <c r="T43" s="774" t="s">
        <v>17</v>
      </c>
      <c r="U43" s="775">
        <f t="shared" si="11"/>
        <v>100</v>
      </c>
      <c r="V43" s="774" t="s">
        <v>17</v>
      </c>
      <c r="W43" s="775">
        <f t="shared" si="12"/>
        <v>100</v>
      </c>
      <c r="X43" s="1815"/>
      <c r="Y43" s="315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58"/>
      <c r="Q44" s="1812">
        <f t="shared" si="14"/>
        <v>111</v>
      </c>
      <c r="R44" s="774" t="s">
        <v>17</v>
      </c>
      <c r="S44" s="775">
        <f t="shared" si="10"/>
        <v>100</v>
      </c>
      <c r="T44" s="774" t="s">
        <v>17</v>
      </c>
      <c r="U44" s="775">
        <f t="shared" si="11"/>
        <v>100</v>
      </c>
      <c r="V44" s="774" t="s">
        <v>17</v>
      </c>
      <c r="W44" s="775">
        <f t="shared" si="12"/>
        <v>100</v>
      </c>
      <c r="X44" s="1815"/>
      <c r="Y44" s="3158"/>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58"/>
      <c r="Q45" s="1812">
        <f t="shared" si="14"/>
        <v>111</v>
      </c>
      <c r="R45" s="777" t="s">
        <v>17</v>
      </c>
      <c r="S45" s="778">
        <f t="shared" si="10"/>
        <v>100</v>
      </c>
      <c r="T45" s="777" t="s">
        <v>17</v>
      </c>
      <c r="U45" s="778">
        <f t="shared" si="11"/>
        <v>100</v>
      </c>
      <c r="V45" s="777" t="s">
        <v>17</v>
      </c>
      <c r="W45" s="778">
        <f t="shared" si="12"/>
        <v>100</v>
      </c>
      <c r="X45" s="779"/>
      <c r="Y45" s="3158"/>
      <c r="Z45" s="780">
        <f t="shared" si="13"/>
        <v>111</v>
      </c>
      <c r="AA45" s="1813">
        <f t="shared" si="3"/>
        <v>1</v>
      </c>
      <c r="AB45" s="1813">
        <f t="shared" si="4"/>
        <v>1</v>
      </c>
      <c r="AC45" s="1813">
        <f t="shared" si="5"/>
        <v>1</v>
      </c>
    </row>
    <row r="46" spans="1:29" ht="15">
      <c r="A46" s="479" t="s">
        <v>2676</v>
      </c>
      <c r="B46" s="2704" t="s">
        <v>2712</v>
      </c>
      <c r="C46" s="682" t="s">
        <v>1</v>
      </c>
      <c r="D46" s="481"/>
      <c r="E46" s="482"/>
      <c r="F46" s="483"/>
      <c r="G46" s="484"/>
      <c r="H46" s="485"/>
      <c r="I46" s="482"/>
      <c r="J46" s="485"/>
      <c r="K46" s="783"/>
      <c r="L46" s="1145"/>
      <c r="M46" s="1146"/>
      <c r="N46" s="1133"/>
      <c r="O46" s="1146"/>
      <c r="P46" s="3152" t="str">
        <f>A46</f>
        <v>成交单价</v>
      </c>
      <c r="Q46" s="3152"/>
      <c r="R46" s="3154">
        <f>E46</f>
        <v>0</v>
      </c>
      <c r="S46" s="3154"/>
      <c r="T46" s="3154">
        <f>G46</f>
        <v>0</v>
      </c>
      <c r="U46" s="3154"/>
      <c r="V46" s="3154">
        <f>I46</f>
        <v>0</v>
      </c>
      <c r="W46" s="3154"/>
      <c r="X46" s="759"/>
      <c r="Y46" s="781"/>
      <c r="Z46" s="759"/>
      <c r="AA46" s="759"/>
      <c r="AB46" s="759"/>
      <c r="AC46" s="759"/>
    </row>
    <row r="47" spans="1:29" ht="15.75" thickBot="1">
      <c r="A47" s="486" t="s">
        <v>2625</v>
      </c>
      <c r="B47" s="683"/>
      <c r="C47" s="490" t="e">
        <f>R48</f>
        <v>#DIV/0!</v>
      </c>
      <c r="D47" s="489"/>
      <c r="E47" s="490" t="e">
        <f>R47</f>
        <v>#DIV/0!</v>
      </c>
      <c r="F47" s="491"/>
      <c r="G47" s="488" t="e">
        <f>T47</f>
        <v>#DIV/0!</v>
      </c>
      <c r="H47" s="489"/>
      <c r="I47" s="490" t="e">
        <f>V47</f>
        <v>#DIV/0!</v>
      </c>
      <c r="J47" s="489"/>
      <c r="K47" s="784"/>
      <c r="L47" s="1145"/>
      <c r="M47" s="1146"/>
      <c r="N47" s="1146"/>
      <c r="O47" s="1146"/>
      <c r="P47" s="3152" t="str">
        <f>A47</f>
        <v>比较价值（元/平方米）</v>
      </c>
      <c r="Q47" s="3152"/>
      <c r="R47" s="3153" t="e">
        <f>ROUND(PRODUCT(R46,AA7:AA45),0)</f>
        <v>#DIV/0!</v>
      </c>
      <c r="S47" s="3153"/>
      <c r="T47" s="3153" t="e">
        <f>ROUND(PRODUCT(T46,AB7:AB45),0)</f>
        <v>#DIV/0!</v>
      </c>
      <c r="U47" s="3153"/>
      <c r="V47" s="3153" t="e">
        <f>ROUND(PRODUCT(V46,AC7:AC45),0)</f>
        <v>#DIV/0!</v>
      </c>
      <c r="W47" s="3153"/>
      <c r="X47" s="759"/>
      <c r="Y47" s="759"/>
      <c r="Z47" s="759"/>
      <c r="AA47" s="759"/>
      <c r="AB47" s="759"/>
      <c r="AC47" s="759"/>
    </row>
    <row r="48" spans="1:29" ht="15.75" thickBot="1">
      <c r="A48" s="492" t="s">
        <v>2713</v>
      </c>
      <c r="B48" s="493"/>
      <c r="C48" s="494" t="e">
        <f>R48</f>
        <v>#DIV/0!</v>
      </c>
      <c r="D48" s="494"/>
      <c r="E48" s="494"/>
      <c r="F48" s="494"/>
      <c r="G48" s="494"/>
      <c r="H48" s="494"/>
      <c r="I48" s="494"/>
      <c r="J48" s="494"/>
      <c r="K48" s="785"/>
      <c r="L48" s="1145"/>
      <c r="M48" s="1146"/>
      <c r="N48" s="1146"/>
      <c r="O48" s="1146"/>
      <c r="P48" s="3149" t="str">
        <f>A48</f>
        <v>估价对象XX用房的比较价值（楼面单价，元/平方米）</v>
      </c>
      <c r="Q48" s="3150"/>
      <c r="R48" s="3151" t="e">
        <f>ROUND(AVERAGE(R47:V47),0)</f>
        <v>#DIV/0!</v>
      </c>
      <c r="S48" s="3151"/>
      <c r="T48" s="3151"/>
      <c r="U48" s="3151"/>
      <c r="V48" s="3151"/>
      <c r="W48" s="315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5" t="s">
        <v>2716</v>
      </c>
      <c r="D55" s="2706" t="s">
        <v>2717</v>
      </c>
      <c r="E55" s="686" t="s">
        <v>2718</v>
      </c>
      <c r="F55" s="1109" t="s">
        <v>2719</v>
      </c>
      <c r="G55" s="3162" t="s">
        <v>2720</v>
      </c>
      <c r="H55" s="3176"/>
      <c r="I55" s="144" t="s">
        <v>2721</v>
      </c>
      <c r="J55" s="2707" t="str">
        <f>项目基本情况!F35</f>
        <v>河北省廊坊市</v>
      </c>
      <c r="K55" s="2708" t="s">
        <v>2722</v>
      </c>
      <c r="L55" s="1108"/>
      <c r="M55" s="1146"/>
      <c r="N55" s="1146"/>
      <c r="O55" s="1146"/>
    </row>
    <row r="56" spans="1:15" s="692" customFormat="1">
      <c r="A56" s="688" t="s">
        <v>2723</v>
      </c>
      <c r="B56" s="689" t="e">
        <f>C48</f>
        <v>#DIV/0!</v>
      </c>
      <c r="C56" s="690">
        <v>1</v>
      </c>
      <c r="D56" s="1165">
        <v>1</v>
      </c>
      <c r="E56" s="690">
        <f>'数据-汇总表'!E8+'数据-汇总表'!E9</f>
        <v>43891.519999999997</v>
      </c>
      <c r="F56" s="1105" t="e">
        <f t="shared" ref="F56:F65" si="15">ROUND(B56*E56/10000,0)</f>
        <v>#DIV/0!</v>
      </c>
      <c r="G56" s="3177"/>
      <c r="H56" s="3152"/>
      <c r="I56" s="1110">
        <v>1</v>
      </c>
      <c r="J56" s="1113">
        <v>1</v>
      </c>
      <c r="K56" s="1147"/>
      <c r="L56" s="944"/>
      <c r="M56" s="944"/>
      <c r="N56" s="944"/>
      <c r="O56" s="944"/>
    </row>
    <row r="57" spans="1:15" s="692" customFormat="1">
      <c r="A57" s="693" t="s">
        <v>2724</v>
      </c>
      <c r="B57" s="262" t="e">
        <f>ROUND($C$48*C57*D57,0)</f>
        <v>#DIV/0!</v>
      </c>
      <c r="C57" s="200">
        <f t="shared" ref="C57:C65" si="16">IF($C$55="北京市系数",I57,J57)</f>
        <v>0</v>
      </c>
      <c r="D57" s="1166">
        <v>0.25</v>
      </c>
      <c r="E57" s="694"/>
      <c r="F57" s="1105" t="e">
        <f t="shared" si="15"/>
        <v>#DIV/0!</v>
      </c>
      <c r="G57" s="3178" t="s">
        <v>2725</v>
      </c>
      <c r="H57" s="1106">
        <f>项目基本情况!B37</f>
        <v>0</v>
      </c>
      <c r="I57" s="1110">
        <f>SUMIF(修正!A45:A56,H57,修正!B45:B56)</f>
        <v>0</v>
      </c>
      <c r="J57" s="1114"/>
      <c r="K57" s="1146"/>
      <c r="L57" s="944"/>
      <c r="M57" s="944"/>
      <c r="N57" s="944"/>
      <c r="O57" s="944"/>
    </row>
    <row r="58" spans="1:15" s="692" customFormat="1">
      <c r="A58" s="693" t="s">
        <v>2726</v>
      </c>
      <c r="B58" s="262" t="e">
        <f t="shared" ref="B58:B65" si="17">ROUND($C$48*C58*D58,0)</f>
        <v>#DIV/0!</v>
      </c>
      <c r="C58" s="200">
        <f t="shared" si="16"/>
        <v>0</v>
      </c>
      <c r="D58" s="1166">
        <v>0.25</v>
      </c>
      <c r="E58" s="694"/>
      <c r="F58" s="1105" t="e">
        <f t="shared" si="15"/>
        <v>#DIV/0!</v>
      </c>
      <c r="G58" s="3178"/>
      <c r="H58" s="1106">
        <f>项目基本情况!B37</f>
        <v>0</v>
      </c>
      <c r="I58" s="1110">
        <f>SUMIF(修正!A45:A56,H58,修正!C45:C56)</f>
        <v>0</v>
      </c>
      <c r="J58" s="1114"/>
      <c r="K58" s="1147"/>
      <c r="L58" s="944"/>
      <c r="M58" s="944"/>
      <c r="N58" s="944"/>
      <c r="O58" s="944"/>
    </row>
    <row r="59" spans="1:15" s="692" customFormat="1">
      <c r="A59" s="693" t="s">
        <v>2727</v>
      </c>
      <c r="B59" s="262" t="e">
        <f t="shared" si="17"/>
        <v>#DIV/0!</v>
      </c>
      <c r="C59" s="200">
        <f t="shared" si="16"/>
        <v>0</v>
      </c>
      <c r="D59" s="1166">
        <v>0.25</v>
      </c>
      <c r="E59" s="694"/>
      <c r="F59" s="1105" t="e">
        <f t="shared" si="15"/>
        <v>#DIV/0!</v>
      </c>
      <c r="G59" s="3178"/>
      <c r="H59" s="1106">
        <f>项目基本情况!B37</f>
        <v>0</v>
      </c>
      <c r="I59" s="1110">
        <f>SUMIF(修正!A45:A56,H59,修正!D45:D56)</f>
        <v>0</v>
      </c>
      <c r="J59" s="1114"/>
      <c r="K59" s="1146"/>
      <c r="L59" s="944"/>
      <c r="M59" s="944"/>
      <c r="N59" s="944"/>
      <c r="O59" s="944"/>
    </row>
    <row r="60" spans="1:15" s="692" customFormat="1">
      <c r="A60" s="693" t="s">
        <v>2728</v>
      </c>
      <c r="B60" s="262" t="e">
        <f t="shared" si="17"/>
        <v>#DIV/0!</v>
      </c>
      <c r="C60" s="200">
        <f t="shared" si="16"/>
        <v>0</v>
      </c>
      <c r="D60" s="1166">
        <v>0.25</v>
      </c>
      <c r="E60" s="694"/>
      <c r="F60" s="1105" t="e">
        <f t="shared" si="15"/>
        <v>#DIV/0!</v>
      </c>
      <c r="G60" s="3178"/>
      <c r="H60" s="1106">
        <f>项目基本情况!B37</f>
        <v>0</v>
      </c>
      <c r="I60" s="1110">
        <f>SUMIF(修正!A45:A56,H60,修正!E45:E56)</f>
        <v>0</v>
      </c>
      <c r="J60" s="1114"/>
      <c r="K60" s="1147"/>
      <c r="L60" s="944"/>
      <c r="M60" s="944"/>
      <c r="N60" s="944"/>
      <c r="O60" s="944"/>
    </row>
    <row r="61" spans="1:15" s="692" customFormat="1">
      <c r="A61" s="693" t="s">
        <v>2729</v>
      </c>
      <c r="B61" s="262" t="e">
        <f t="shared" si="17"/>
        <v>#DIV/0!</v>
      </c>
      <c r="C61" s="200">
        <f t="shared" si="16"/>
        <v>0</v>
      </c>
      <c r="D61" s="1166">
        <v>0.25</v>
      </c>
      <c r="E61" s="261">
        <f>'数据-汇总表'!E11</f>
        <v>0</v>
      </c>
      <c r="F61" s="1105" t="e">
        <f t="shared" si="15"/>
        <v>#DIV/0!</v>
      </c>
      <c r="G61" s="2709" t="s">
        <v>2730</v>
      </c>
      <c r="H61" s="1106">
        <f>项目基本情况!C37</f>
        <v>0</v>
      </c>
      <c r="I61" s="1110">
        <f>SUMIF(修正!A45:A56,H61,修正!F45:F56)</f>
        <v>0</v>
      </c>
      <c r="J61" s="1114"/>
      <c r="K61" s="1146"/>
      <c r="L61" s="944"/>
      <c r="M61" s="944"/>
      <c r="N61" s="944"/>
      <c r="O61" s="944"/>
    </row>
    <row r="62" spans="1:15" s="692" customFormat="1">
      <c r="A62" s="693" t="s">
        <v>2731</v>
      </c>
      <c r="B62" s="262" t="e">
        <f t="shared" si="17"/>
        <v>#DIV/0!</v>
      </c>
      <c r="C62" s="200">
        <f t="shared" si="16"/>
        <v>0</v>
      </c>
      <c r="D62" s="1166">
        <v>0.25</v>
      </c>
      <c r="E62" s="261">
        <f>'数据-汇总表'!E12</f>
        <v>0</v>
      </c>
      <c r="F62" s="1105" t="e">
        <f t="shared" si="15"/>
        <v>#DIV/0!</v>
      </c>
      <c r="G62" s="1111" t="s">
        <v>2732</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2733</v>
      </c>
      <c r="B63" s="262" t="e">
        <f t="shared" si="17"/>
        <v>#DIV/0!</v>
      </c>
      <c r="C63" s="200">
        <f t="shared" si="16"/>
        <v>0</v>
      </c>
      <c r="D63" s="1166">
        <v>0.25</v>
      </c>
      <c r="E63" s="261">
        <f>'数据-汇总表'!E13</f>
        <v>0</v>
      </c>
      <c r="F63" s="1105" t="e">
        <f t="shared" si="15"/>
        <v>#DIV/0!</v>
      </c>
      <c r="G63" s="1111" t="s">
        <v>2734</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2735</v>
      </c>
      <c r="B64" s="262" t="e">
        <f t="shared" si="17"/>
        <v>#DIV/0!</v>
      </c>
      <c r="C64" s="200">
        <f t="shared" si="16"/>
        <v>0</v>
      </c>
      <c r="D64" s="1166">
        <v>0.25</v>
      </c>
      <c r="E64" s="261">
        <f>'数据-汇总表'!E14</f>
        <v>0</v>
      </c>
      <c r="F64" s="1105" t="e">
        <f t="shared" si="15"/>
        <v>#DIV/0!</v>
      </c>
      <c r="G64" s="2709" t="s">
        <v>2725</v>
      </c>
      <c r="H64" s="1106">
        <f>项目基本情况!B37</f>
        <v>0</v>
      </c>
      <c r="I64" s="1110">
        <f>SUMIF(修正!A45:A56,H64,修正!H45:H56)</f>
        <v>0</v>
      </c>
      <c r="J64" s="1114"/>
      <c r="K64" s="1147"/>
      <c r="L64" s="944"/>
      <c r="M64" s="944"/>
      <c r="N64" s="944"/>
      <c r="O64" s="944"/>
    </row>
    <row r="65" spans="1:17" s="692" customFormat="1" ht="15" thickBot="1">
      <c r="A65" s="693" t="s">
        <v>2736</v>
      </c>
      <c r="B65" s="262" t="e">
        <f t="shared" si="17"/>
        <v>#DIV/0!</v>
      </c>
      <c r="C65" s="200">
        <f t="shared" si="16"/>
        <v>0</v>
      </c>
      <c r="D65" s="1166">
        <v>0.25</v>
      </c>
      <c r="E65" s="261">
        <f>'数据-汇总表'!E15</f>
        <v>0</v>
      </c>
      <c r="F65" s="1105" t="e">
        <f t="shared" si="15"/>
        <v>#DIV/0!</v>
      </c>
      <c r="G65" s="2710" t="s">
        <v>2730</v>
      </c>
      <c r="H65" s="1116">
        <f>项目基本情况!C37</f>
        <v>0</v>
      </c>
      <c r="I65" s="1112">
        <f>SUMIF(修正!A45:A56,H65,修正!H45:H56)</f>
        <v>0</v>
      </c>
      <c r="J65" s="1115"/>
      <c r="K65" s="1146"/>
      <c r="L65" s="944"/>
      <c r="M65" s="944"/>
      <c r="N65" s="944"/>
      <c r="O65" s="944"/>
    </row>
    <row r="66" spans="1:17" s="692" customFormat="1" ht="13.5" thickBot="1">
      <c r="A66" s="695" t="s">
        <v>2737</v>
      </c>
      <c r="B66" s="696" t="s">
        <v>27</v>
      </c>
      <c r="C66" s="696" t="s">
        <v>28</v>
      </c>
      <c r="D66" s="696" t="s">
        <v>1028</v>
      </c>
      <c r="E66" s="696">
        <f>IF(B46="楼面地价",SUM(E56:E65),'数据-汇总表'!D3)</f>
        <v>43891.519999999997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11" t="s">
        <v>2738</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2739</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2647</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2519</v>
      </c>
      <c r="B116" s="528" t="s">
        <v>2747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2748</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2749</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2750</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2751</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2759</v>
      </c>
      <c r="B1" s="241"/>
      <c r="C1" s="245" t="s">
        <v>2760</v>
      </c>
      <c r="D1" s="388">
        <f>SUM(D29:D30,D33:D39)</f>
        <v>0</v>
      </c>
      <c r="E1" s="2717"/>
      <c r="F1" s="2717"/>
      <c r="G1" s="2717"/>
      <c r="H1" s="2717"/>
      <c r="I1" s="2717"/>
      <c r="J1" s="2717"/>
      <c r="K1" s="1372"/>
      <c r="L1" s="2718" t="s">
        <v>2761</v>
      </c>
      <c r="M1" s="1082">
        <f>SUMPRODUCT((区片价!B5:B9=I2)*(区片价!C3:F3=E2)*(区片价!C5:F9))</f>
        <v>0</v>
      </c>
      <c r="N1" s="1085">
        <f>SUMPRODUCT((因素修正幅度!B5:B9=I2)*(因素修正幅度!C3:F3=E2)*(因素修正幅度!C5:F9))</f>
        <v>0</v>
      </c>
      <c r="O1" s="2719"/>
      <c r="P1" s="2719"/>
      <c r="Q1" s="1372"/>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15.75">
      <c r="A2" s="245" t="s">
        <v>2767</v>
      </c>
      <c r="B2" s="248" t="e">
        <f>C26</f>
        <v>#DIV/0!</v>
      </c>
      <c r="C2" s="2721" t="s">
        <v>2768</v>
      </c>
      <c r="D2" s="2722" t="s">
        <v>2769</v>
      </c>
      <c r="E2" s="2723"/>
      <c r="F2" s="2722" t="s">
        <v>2770</v>
      </c>
      <c r="G2" s="2724">
        <f>IF(E2="商业",项目基本情况!B37,IF(E2="办公",项目基本情况!C37,IF(E2="住宅",项目基本情况!D37,项目基本情况!E37)))</f>
        <v>0</v>
      </c>
      <c r="H2" s="2722" t="s">
        <v>2771</v>
      </c>
      <c r="I2" s="2724">
        <f>IF(E2="商业",项目基本情况!B38,IF(E2="办公",项目基本情况!C38,IF(E2="住宅",项目基本情况!D38,项目基本情况!E38)))</f>
        <v>0</v>
      </c>
      <c r="J2" s="2725"/>
      <c r="K2" s="1372"/>
      <c r="L2" s="2726" t="s">
        <v>2772</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2773</v>
      </c>
      <c r="B3" s="248" t="e">
        <f>ROUND(B2*10000/D1,0)</f>
        <v>#DIV/0!</v>
      </c>
      <c r="C3" s="2721" t="s">
        <v>2774</v>
      </c>
      <c r="D3" s="2722" t="s">
        <v>2775</v>
      </c>
      <c r="E3" s="2727"/>
      <c r="F3" s="2728" t="s">
        <v>2776</v>
      </c>
      <c r="G3" s="916">
        <f>IF(F3="宗地容积率",'数据-汇总表'!I4,IF(F3="估价对象容积率",'数据-汇总表'!I6,'数据-汇总表'!I7))</f>
        <v>0.72</v>
      </c>
      <c r="H3" s="198" t="s">
        <v>2777</v>
      </c>
      <c r="I3" s="947"/>
      <c r="J3" s="2725" t="s">
        <v>2778</v>
      </c>
      <c r="K3" s="1372"/>
      <c r="L3" s="2726" t="s">
        <v>2779</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2"/>
      <c r="L4" s="2726" t="s">
        <v>2780</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806</v>
      </c>
      <c r="B5" s="2730" t="s">
        <v>2781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2782</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2783</v>
      </c>
      <c r="B6" s="2740" t="s">
        <v>2784</v>
      </c>
      <c r="C6" s="918">
        <f>SUMIF(L1:L12,G2,M1:M12)</f>
        <v>0</v>
      </c>
      <c r="D6" s="2741" t="s">
        <v>2785</v>
      </c>
      <c r="E6" s="2742"/>
      <c r="F6" s="2742"/>
      <c r="G6" s="2743"/>
      <c r="H6" s="2743"/>
      <c r="I6" s="2743"/>
      <c r="J6" s="2744"/>
      <c r="K6" s="1844"/>
      <c r="L6" s="2726" t="s">
        <v>2786</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50" t="str">
        <f>IF(E2="商业",IF(C8="不临58条商业街","",2),"")</f>
        <v/>
      </c>
      <c r="B7" s="2745" t="s">
        <v>2787</v>
      </c>
      <c r="C7" s="919" t="e">
        <f>IF(C8="不临58条商业街",1,ROUND(1+(1.6*E8+1.2*E9+0.8*E10+0.4*E11)*C9,4))</f>
        <v>#DIV/0!</v>
      </c>
      <c r="D7" s="2746" t="s">
        <v>2788</v>
      </c>
      <c r="E7" s="948"/>
      <c r="F7" s="2747"/>
      <c r="G7" s="2748"/>
      <c r="H7" s="2748"/>
      <c r="I7" s="2748"/>
      <c r="J7" s="2749"/>
      <c r="K7" s="1844"/>
      <c r="L7" s="2726" t="s">
        <v>2789</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2790</v>
      </c>
      <c r="X7" s="1606">
        <f>G2</f>
        <v>0</v>
      </c>
      <c r="Y7" s="1606" t="s">
        <v>2791</v>
      </c>
      <c r="Z7" s="1607">
        <f>G3</f>
        <v>0.72</v>
      </c>
      <c r="AA7" s="1608"/>
      <c r="AB7" s="1608"/>
      <c r="AC7" s="1609"/>
      <c r="AD7" s="1610"/>
      <c r="AE7" s="1610"/>
      <c r="AF7" s="1610"/>
      <c r="AG7" s="1610"/>
      <c r="AH7" s="1610"/>
      <c r="AI7" s="1610"/>
      <c r="AJ7" s="1611"/>
    </row>
    <row r="8" spans="1:36" ht="15">
      <c r="A8" s="3251"/>
      <c r="B8" s="198" t="s">
        <v>2792</v>
      </c>
      <c r="C8" s="2750"/>
      <c r="D8" s="920" t="s">
        <v>138</v>
      </c>
      <c r="E8" s="921" t="e">
        <f>ROUND(C11/E7,4)</f>
        <v>#DIV/0!</v>
      </c>
      <c r="F8" s="2751" t="s">
        <v>2793</v>
      </c>
      <c r="G8" s="2752"/>
      <c r="H8" s="2752"/>
      <c r="I8" s="2752"/>
      <c r="J8" s="2753"/>
      <c r="K8" s="1372"/>
      <c r="L8" s="2726" t="s">
        <v>2794</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1" t="s">
        <v>2795</v>
      </c>
      <c r="X8" s="3262"/>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251"/>
      <c r="B9" s="198" t="s">
        <v>2808</v>
      </c>
      <c r="C9" s="922">
        <f>SUMIF(修正!C59:C119,C8,修正!E59:E119)</f>
        <v>0</v>
      </c>
      <c r="D9" s="200" t="s">
        <v>139</v>
      </c>
      <c r="E9" s="200" t="e">
        <f>ROUND(C11/E7,4)</f>
        <v>#DIV/0!</v>
      </c>
      <c r="F9" s="2751" t="s">
        <v>2809</v>
      </c>
      <c r="G9" s="2752"/>
      <c r="H9" s="2752"/>
      <c r="I9" s="2752"/>
      <c r="J9" s="2753"/>
      <c r="K9" s="1372"/>
      <c r="L9" s="2726" t="s">
        <v>2810</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3"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8" t="s">
        <v>2813</v>
      </c>
      <c r="C10" s="200">
        <f>SUMIF(修正!C59:C119,C8,修正!F59:F119)</f>
        <v>0</v>
      </c>
      <c r="D10" s="200" t="s">
        <v>140</v>
      </c>
      <c r="E10" s="200" t="e">
        <f>ROUND(C11/E7,4)</f>
        <v>#DIV/0!</v>
      </c>
      <c r="F10" s="2751" t="s">
        <v>2814</v>
      </c>
      <c r="G10" s="2752"/>
      <c r="H10" s="2752"/>
      <c r="I10" s="2752"/>
      <c r="J10" s="2753"/>
      <c r="K10" s="1372"/>
      <c r="L10" s="2726" t="s">
        <v>2815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54" t="s">
        <v>2816</v>
      </c>
      <c r="C11" s="923">
        <f>C10/4</f>
        <v>0</v>
      </c>
      <c r="D11" s="923" t="s">
        <v>141</v>
      </c>
      <c r="E11" s="923" t="e">
        <f>ROUND(C11/E7,4)</f>
        <v>#DIV/0!</v>
      </c>
      <c r="F11" s="2755" t="s">
        <v>2817</v>
      </c>
      <c r="G11" s="2756"/>
      <c r="H11" s="2756"/>
      <c r="I11" s="2756"/>
      <c r="J11" s="2757"/>
      <c r="K11" s="1372"/>
      <c r="L11" s="2726" t="s">
        <v>2818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3" t="s">
        <v>2819</v>
      </c>
      <c r="X11" s="1616" t="s">
        <v>2820</v>
      </c>
      <c r="Y11" s="1617">
        <f>$G$3</f>
        <v>0.72</v>
      </c>
      <c r="Z11" s="1617">
        <f t="shared" ref="Z11:AJ11" si="3">$G$3</f>
        <v>0.72</v>
      </c>
      <c r="AA11" s="1617">
        <f t="shared" si="3"/>
        <v>0.72</v>
      </c>
      <c r="AB11" s="1617">
        <f t="shared" si="3"/>
        <v>0.72</v>
      </c>
      <c r="AC11" s="1617">
        <f t="shared" si="3"/>
        <v>0.72</v>
      </c>
      <c r="AD11" s="1617">
        <f t="shared" si="3"/>
        <v>0.72</v>
      </c>
      <c r="AE11" s="1617">
        <f t="shared" si="3"/>
        <v>0.72</v>
      </c>
      <c r="AF11" s="1617">
        <f t="shared" si="3"/>
        <v>0.72</v>
      </c>
      <c r="AG11" s="1617">
        <f t="shared" si="3"/>
        <v>0.72</v>
      </c>
      <c r="AH11" s="1617">
        <f t="shared" si="3"/>
        <v>0.72</v>
      </c>
      <c r="AI11" s="1617">
        <f t="shared" si="3"/>
        <v>0.72</v>
      </c>
      <c r="AJ11" s="1617">
        <f t="shared" si="3"/>
        <v>0.72</v>
      </c>
    </row>
    <row r="12" spans="1:36" ht="25.5" thickBot="1">
      <c r="A12" s="3250" t="s">
        <v>2821</v>
      </c>
      <c r="B12" s="2758" t="s">
        <v>2822</v>
      </c>
      <c r="C12" s="919">
        <f>ROUND(C15*D15*E15*F15*G15*H15*I15*J15,4)</f>
        <v>1</v>
      </c>
      <c r="D12" s="2759" t="s">
        <v>2823</v>
      </c>
      <c r="E12" s="2760"/>
      <c r="F12" s="2760"/>
      <c r="G12" s="2761"/>
      <c r="H12" s="2761"/>
      <c r="I12" s="2761"/>
      <c r="J12" s="2762"/>
      <c r="K12" s="1372"/>
      <c r="L12" s="2763" t="s">
        <v>2824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3"/>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4" t="s">
        <v>2826</v>
      </c>
      <c r="C13" s="2765" t="s">
        <v>2827</v>
      </c>
      <c r="D13" s="1810" t="s">
        <v>2828</v>
      </c>
      <c r="E13" s="1810" t="s">
        <v>2829</v>
      </c>
      <c r="F13" s="30" t="s">
        <v>2830</v>
      </c>
      <c r="G13" s="2766" t="s">
        <v>2831</v>
      </c>
      <c r="H13" s="2766" t="s">
        <v>2831</v>
      </c>
      <c r="I13" s="2766" t="s">
        <v>2831</v>
      </c>
      <c r="J13" s="2767" t="s">
        <v>2831</v>
      </c>
      <c r="K13" s="1372"/>
      <c r="L13" s="1372"/>
      <c r="M13" s="1372"/>
      <c r="N13" s="1372"/>
      <c r="O13" s="1372"/>
      <c r="P13" s="1372"/>
      <c r="Q13" s="1372"/>
      <c r="R13" s="1604">
        <v>12</v>
      </c>
      <c r="S13" s="1605"/>
      <c r="T13" s="1604" t="e">
        <f t="shared" si="0"/>
        <v>#DIV/0!</v>
      </c>
      <c r="U13" s="1605"/>
      <c r="V13" s="1604" t="e">
        <f t="shared" si="1"/>
        <v>#DIV/0!</v>
      </c>
      <c r="W13" s="3263"/>
      <c r="X13" s="1618"/>
      <c r="Y13" s="1615">
        <f>(-0.163*(Y12^2)-0.59*Y12+7617)*(10^(-4))/Y11</f>
        <v>1.0579166666666668</v>
      </c>
      <c r="Z13" s="1615">
        <f t="shared" ref="Z13:AJ13" si="5">(-0.163*(Z12^2)-0.59*Z12+7617)*(10^(-4))/Z11</f>
        <v>1.0579166666666668</v>
      </c>
      <c r="AA13" s="1615">
        <f t="shared" si="5"/>
        <v>1.0579166666666668</v>
      </c>
      <c r="AB13" s="1615">
        <f t="shared" si="5"/>
        <v>1.0579166666666668</v>
      </c>
      <c r="AC13" s="1615">
        <f t="shared" si="5"/>
        <v>1.0579166666666668</v>
      </c>
      <c r="AD13" s="1615">
        <f t="shared" si="5"/>
        <v>1.0579166666666668</v>
      </c>
      <c r="AE13" s="1615">
        <f t="shared" si="5"/>
        <v>1.0579166666666668</v>
      </c>
      <c r="AF13" s="1615">
        <f t="shared" si="5"/>
        <v>1.0579166666666668</v>
      </c>
      <c r="AG13" s="1615">
        <f t="shared" si="5"/>
        <v>1.0579166666666668</v>
      </c>
      <c r="AH13" s="1615">
        <f t="shared" si="5"/>
        <v>1.0579166666666668</v>
      </c>
      <c r="AI13" s="1615">
        <f t="shared" si="5"/>
        <v>1.0579166666666668</v>
      </c>
      <c r="AJ13" s="1615">
        <f t="shared" si="5"/>
        <v>1.0579166666666668</v>
      </c>
    </row>
    <row r="14" spans="1:36" ht="15">
      <c r="A14" s="3268"/>
      <c r="B14" s="2768"/>
      <c r="C14" s="2769"/>
      <c r="D14" s="2770"/>
      <c r="E14" s="2770"/>
      <c r="F14" s="2771"/>
      <c r="G14" s="2772" t="s">
        <v>2832</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76" t="s">
        <v>2833</v>
      </c>
      <c r="C15" s="229">
        <f>IF(C14="有",1.1,1)</f>
        <v>1</v>
      </c>
      <c r="D15" s="229">
        <f>IF(D14="有",1.1,1)</f>
        <v>1</v>
      </c>
      <c r="E15" s="229">
        <f>IF(E14="有",1.1,1)</f>
        <v>1</v>
      </c>
      <c r="F15" s="229">
        <f>IF(F14="500米范围内",1.2,IF(F14="500-1000米",1.1,1))</f>
        <v>1</v>
      </c>
      <c r="G15" s="949">
        <v>1</v>
      </c>
      <c r="H15" s="949">
        <v>1</v>
      </c>
      <c r="I15" s="949">
        <v>1</v>
      </c>
      <c r="J15" s="950">
        <v>1</v>
      </c>
      <c r="K15" s="1372"/>
      <c r="L15" s="2777" t="s">
        <v>2769</v>
      </c>
      <c r="M15" s="920" t="s">
        <v>2834</v>
      </c>
      <c r="N15" s="920" t="s">
        <v>2835</v>
      </c>
      <c r="O15" s="920" t="s">
        <v>2836</v>
      </c>
      <c r="P15" s="2778" t="s">
        <v>2837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0" t="s">
        <v>2838</v>
      </c>
      <c r="B16" s="2745" t="s">
        <v>2839</v>
      </c>
      <c r="C16" s="1803" t="e">
        <f>ROUND(SUM(G17:J17)/C17,0)</f>
        <v>#DIV/0!</v>
      </c>
      <c r="D16" s="2779" t="s">
        <v>2840</v>
      </c>
      <c r="E16" s="2780"/>
      <c r="F16" s="2781"/>
      <c r="G16" s="2782"/>
      <c r="H16" s="2782"/>
      <c r="I16" s="2782"/>
      <c r="J16" s="2783"/>
      <c r="K16" s="1372"/>
      <c r="L16" s="2784" t="s">
        <v>2841</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1"/>
      <c r="B17" s="2785" t="s">
        <v>2842</v>
      </c>
      <c r="C17" s="924">
        <f>SUMPRODUCT((修正!A2:A5=E2)*(修正!B1:M1=G2)*(修正!B2:M5))</f>
        <v>0</v>
      </c>
      <c r="D17" s="2786"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2845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807</v>
      </c>
      <c r="B18" s="2790" t="s">
        <v>2846</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808</v>
      </c>
      <c r="B19" s="2790" t="s">
        <v>2847</v>
      </c>
      <c r="C19" s="927" t="e">
        <f>ROUND(IF(H19="按公示增长率计算",SUMPRODUCT((地价!A3:A22=YEAR(G19)&amp;"-"&amp;ROUNDUP(MONTH(G19)/3,0))*(地价!X2:AB2=E2)*(地价!X3:AB22)),IF(H19="地价指数",M20/M19,(1+I19)^O19)),4)</f>
        <v>#DIV/0!</v>
      </c>
      <c r="D19" s="2797" t="s">
        <v>2848</v>
      </c>
      <c r="E19" s="928">
        <v>41640</v>
      </c>
      <c r="F19" s="2797" t="s">
        <v>2849</v>
      </c>
      <c r="G19" s="929">
        <f>'数据-取费表'!B2</f>
        <v>43245</v>
      </c>
      <c r="H19" s="2798" t="s">
        <v>2850</v>
      </c>
      <c r="I19" s="930" t="str">
        <f>IF(H19="季度增幅（自定义）",SUMIF(N21:N24,E2,O21:O24),"")</f>
        <v/>
      </c>
      <c r="J19" s="2795"/>
      <c r="K19" s="1379"/>
      <c r="L19" s="2799" t="s">
        <v>2851</v>
      </c>
      <c r="M19" s="1736">
        <f>ROUND(SUMIF(地价!B2:F2,E2,地价!B22:F22),0)</f>
        <v>0</v>
      </c>
      <c r="N19" s="2800" t="s">
        <v>2852</v>
      </c>
      <c r="O19" s="931">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809</v>
      </c>
      <c r="B20" s="2805" t="s">
        <v>2853</v>
      </c>
      <c r="C20" s="932" t="e">
        <f>ROUND(POWER(1+G20,J20-I20)*(POWER(1+G20,I20)-1)/(POWER(1+G20,J20)-1),4)</f>
        <v>#DIV/0!</v>
      </c>
      <c r="D20" s="2806" t="s">
        <v>2854</v>
      </c>
      <c r="E20" s="1770">
        <f ca="1">存贷款利率!D4/100</f>
        <v>4.3499999999999997E-2</v>
      </c>
      <c r="F20" s="2806" t="s">
        <v>2845</v>
      </c>
      <c r="G20" s="937">
        <f>SUMIF(M15:P15,E2,M17:P17)</f>
        <v>0</v>
      </c>
      <c r="H20" s="2806" t="s">
        <v>2855</v>
      </c>
      <c r="I20" s="938" t="e">
        <f>SUMIF('数据-取费表'!C6:C15,E2,'数据-取费表'!F6:F15)/COUNTIF('数据-取费表'!C6:C15,E2)</f>
        <v>#DIV/0!</v>
      </c>
      <c r="J20" s="939">
        <f>IF(E2="住宅",70,IF(E2="商业",40,50))</f>
        <v>50</v>
      </c>
      <c r="K20" s="1379"/>
      <c r="L20" s="2807" t="s">
        <v>2856</v>
      </c>
      <c r="M20" s="1737">
        <f>ROUND(SUMPRODUCT((地价!A4:A22=YEAR(G19)&amp;"-"&amp;ROUNDUP(MONTH(G19)/3,0))*(地价!B2:F2=E2)*(地价!B4:F22)),0)</f>
        <v>0</v>
      </c>
      <c r="N20" s="2808" t="s">
        <v>2857</v>
      </c>
      <c r="O20" s="2809" t="s">
        <v>2858</v>
      </c>
      <c r="P20" s="2810" t="s">
        <v>2859</v>
      </c>
      <c r="R20" s="1378"/>
      <c r="S20" s="1378"/>
      <c r="T20" s="1373"/>
      <c r="U20" s="1373"/>
      <c r="V20" s="1373"/>
      <c r="W20" s="1372"/>
      <c r="X20" s="1372"/>
      <c r="Y20" s="1372"/>
      <c r="Z20" s="1379"/>
      <c r="AA20" s="1380"/>
      <c r="AB20" s="1380"/>
      <c r="AC20" s="1380"/>
      <c r="AD20" s="1380"/>
      <c r="AE20" s="1380"/>
      <c r="AF20" s="1380"/>
    </row>
    <row r="21" spans="1:37" s="2738" customFormat="1" ht="15">
      <c r="A21" s="2811" t="s">
        <v>810</v>
      </c>
      <c r="B21" s="2812" t="s">
        <v>2860</v>
      </c>
      <c r="C21" s="940">
        <f>IF(B21="容积率修正",IF(G3&lt;=10,D22,J22),C23)</f>
        <v>0</v>
      </c>
      <c r="D21" s="2813"/>
      <c r="E21" s="2813"/>
      <c r="F21" s="2813"/>
      <c r="G21" s="2813"/>
      <c r="H21" s="2813"/>
      <c r="I21" s="2813"/>
      <c r="J21" s="2814"/>
      <c r="K21" s="1379"/>
      <c r="N21" s="2815" t="s">
        <v>2861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2862</v>
      </c>
      <c r="B22" s="2816" t="s">
        <v>2863</v>
      </c>
      <c r="C22" s="1812" t="s">
        <v>2864</v>
      </c>
      <c r="D22" s="1812">
        <f>IF(E22=G22,F22,IF(G3&lt;=10,ROUND(F22+(H22-F22)*(G3-E22)/(G22-E22),4),"——"))</f>
        <v>0</v>
      </c>
      <c r="E22" s="916">
        <f>ROUNDDOWN(G3,1)</f>
        <v>0.7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154</v>
      </c>
      <c r="J22" s="941" t="str">
        <f>IF(G3&gt;10,D113,"——")</f>
        <v>——</v>
      </c>
      <c r="K22" s="1379"/>
      <c r="N22" s="2815" t="s">
        <v>2865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4" t="s">
        <v>2866</v>
      </c>
      <c r="B23" s="2817" t="s">
        <v>2867</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2868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811</v>
      </c>
      <c r="B24" s="2790" t="s">
        <v>2869</v>
      </c>
      <c r="C24" s="927">
        <f>SUMIF(A45:A88,E2,B45:B88)</f>
        <v>0</v>
      </c>
      <c r="D24" s="2793"/>
      <c r="E24" s="2823"/>
      <c r="F24" s="2823"/>
      <c r="G24" s="2823"/>
      <c r="H24" s="2823"/>
      <c r="I24" s="2823"/>
      <c r="J24" s="2824"/>
      <c r="K24" s="1379"/>
      <c r="N24" s="2825" t="s">
        <v>2870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4" t="s">
        <v>812</v>
      </c>
      <c r="B25" s="2826" t="s">
        <v>2871</v>
      </c>
      <c r="C25" s="933"/>
      <c r="D25" s="2748"/>
      <c r="E25" s="2748"/>
      <c r="F25" s="2827"/>
      <c r="G25" s="2748"/>
      <c r="H25" s="2748"/>
      <c r="I25" s="2748"/>
      <c r="J25" s="2749"/>
      <c r="K25" s="1372"/>
      <c r="N25" s="2828" t="s">
        <v>2872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9"/>
      <c r="B26" s="2816" t="s">
        <v>2873</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2874</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2875</v>
      </c>
      <c r="C28" s="2840" t="s">
        <v>2876</v>
      </c>
      <c r="D28" s="2840" t="s">
        <v>2877</v>
      </c>
      <c r="E28" s="2841" t="s">
        <v>2878</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2879</v>
      </c>
      <c r="C29" s="206" t="e">
        <f>ROUND(C5*C18*C19*C20*C21*C24,0)</f>
        <v>#DIV/0!</v>
      </c>
      <c r="D29" s="2845"/>
      <c r="E29" s="945" t="e">
        <f>ROUND(C29*D29/10000,0)</f>
        <v>#DIV/0!</v>
      </c>
      <c r="F29" s="2846" t="s">
        <v>2880</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2881</v>
      </c>
      <c r="C30" s="229" t="e">
        <f>ROUND(IF(E2="工业",C29*M39,C29*M38),0)</f>
        <v>#DIV/0!</v>
      </c>
      <c r="D30" s="2851"/>
      <c r="E30" s="945" t="e">
        <f>ROUND(C30*D30/10000,0)</f>
        <v>#DIV/0!</v>
      </c>
      <c r="F30" s="2852" t="s">
        <v>2882</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2883</v>
      </c>
      <c r="C31" s="2857" t="s">
        <v>2884</v>
      </c>
      <c r="D31" s="2761"/>
      <c r="E31" s="2857"/>
      <c r="F31" s="2857"/>
      <c r="G31" s="2759" t="s">
        <v>2885</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2876</v>
      </c>
      <c r="D32" s="498" t="s">
        <v>2877</v>
      </c>
      <c r="E32" s="498" t="s">
        <v>2878</v>
      </c>
      <c r="F32" s="388" t="s">
        <v>2886</v>
      </c>
      <c r="G32" s="2860" t="s">
        <v>2876</v>
      </c>
      <c r="H32" s="2860" t="s">
        <v>2877</v>
      </c>
      <c r="I32" s="2860" t="s">
        <v>2878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58" t="s">
        <v>2887</v>
      </c>
      <c r="B33" s="2861" t="s">
        <v>2888</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9"/>
      <c r="B34" s="2765" t="s">
        <v>2889</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5" t="s">
        <v>2890</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60"/>
      <c r="B36" s="2765" t="s">
        <v>2891</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2892</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2893</v>
      </c>
      <c r="M37" s="2865"/>
      <c r="N37" s="1372"/>
      <c r="O37" s="1372"/>
      <c r="P37" s="1372"/>
      <c r="Q37" s="1372"/>
      <c r="R37" s="1372"/>
      <c r="S37" s="1372"/>
      <c r="T37" s="1372"/>
      <c r="U37" s="1372"/>
      <c r="V37" s="1372"/>
      <c r="W37" s="1372"/>
      <c r="X37" s="1372"/>
      <c r="Y37" s="1372"/>
      <c r="Z37" s="1373"/>
    </row>
    <row r="38" spans="1:37">
      <c r="A38" s="2863"/>
      <c r="B38" s="2765" t="s">
        <v>2894</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2895</v>
      </c>
      <c r="M38" s="2866">
        <v>0.25</v>
      </c>
      <c r="N38" s="1372"/>
      <c r="O38" s="1372"/>
      <c r="P38" s="1372"/>
      <c r="Q38" s="1372"/>
      <c r="R38" s="1372"/>
      <c r="S38" s="1372"/>
      <c r="T38" s="1372"/>
      <c r="U38" s="1372"/>
      <c r="V38" s="1372"/>
      <c r="W38" s="1372"/>
      <c r="X38" s="1372"/>
      <c r="Y38" s="1372"/>
      <c r="Z38" s="1373"/>
    </row>
    <row r="39" spans="1:37" ht="13.5" thickBot="1">
      <c r="A39" s="2849"/>
      <c r="B39" s="2867" t="s">
        <v>2896</v>
      </c>
      <c r="C39" s="229" t="e">
        <f>ROUND(C5*C19*C20*C24*F39,0)</f>
        <v>#DIV/0!</v>
      </c>
      <c r="D39" s="2851"/>
      <c r="E39" s="229" t="e">
        <f t="shared" si="7"/>
        <v>#DIV/0!</v>
      </c>
      <c r="F39" s="935">
        <f>SUMIF(修正!A45:A56,G2,修正!H45:H56)</f>
        <v>0</v>
      </c>
      <c r="G39" s="229" t="e">
        <f t="shared" si="6"/>
        <v>#DIV/0!</v>
      </c>
      <c r="H39" s="229">
        <f t="shared" si="8"/>
        <v>0</v>
      </c>
      <c r="I39" s="229" t="e">
        <f t="shared" si="9"/>
        <v>#DIV/0!</v>
      </c>
      <c r="J39" s="2868"/>
      <c r="K39" s="1372"/>
      <c r="L39" s="2869" t="s">
        <v>2837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2897</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2898</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2899</v>
      </c>
      <c r="B47" s="1811" t="s">
        <v>2900</v>
      </c>
      <c r="C47" s="1811" t="s">
        <v>2901</v>
      </c>
      <c r="D47" s="1811" t="s">
        <v>2902</v>
      </c>
      <c r="E47" s="819" t="s">
        <v>2903</v>
      </c>
      <c r="F47" s="2879" t="s">
        <v>2904</v>
      </c>
      <c r="G47" s="1811" t="s">
        <v>753</v>
      </c>
      <c r="H47" s="2880" t="s">
        <v>2905</v>
      </c>
      <c r="I47" s="1811" t="s">
        <v>2906</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38.25">
      <c r="A48" s="2878" t="s">
        <v>2907</v>
      </c>
      <c r="B48" s="2881" t="str">
        <f>估价对象房地状况!C4</f>
        <v>估价对象位于XX商圈，周边商业氛围成熟，人流量大，商业繁华度好</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2908</v>
      </c>
      <c r="B49" s="2882" t="str">
        <f>估价对象房地状况!C18</f>
        <v>估价对象周边道路状况、公共交通通达情况、停车便捷程度，综合评价交通便捷度较好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2909</v>
      </c>
      <c r="B50" s="2882" t="str">
        <f>估价对象房地状况!C19</f>
        <v>较一致</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2910</v>
      </c>
      <c r="B51" s="2883" t="s">
        <v>2911</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2912</v>
      </c>
      <c r="B52" s="2882">
        <f>估价对象房地状况!C24</f>
        <v>0</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2913</v>
      </c>
      <c r="B53" s="2884" t="s">
        <v>2914</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2915</v>
      </c>
      <c r="B54" s="1727" t="str">
        <f>估价对象房地状况!C21</f>
        <v>估价对象所在区域公共配套设施齐备情况</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2916</v>
      </c>
      <c r="B55" s="2882" t="str">
        <f>估价对象房地状况!C22</f>
        <v>估价对象所在区域基础设施水平</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2917</v>
      </c>
      <c r="B56" s="2887" t="str">
        <f>估价对象房地状况!C20</f>
        <v>区域自然环境：；人文环境；综合评价环境状况一般</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2918</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2899</v>
      </c>
      <c r="B58" s="1811"/>
      <c r="C58" s="1811" t="s">
        <v>2901</v>
      </c>
      <c r="D58" s="1811" t="s">
        <v>2902</v>
      </c>
      <c r="E58" s="819" t="s">
        <v>2903</v>
      </c>
      <c r="F58" s="2879" t="s">
        <v>2919</v>
      </c>
      <c r="G58" s="1811" t="s">
        <v>753</v>
      </c>
      <c r="H58" s="2880" t="s">
        <v>2905</v>
      </c>
      <c r="I58" s="1811" t="s">
        <v>2906</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38.25">
      <c r="A59" s="2878" t="s">
        <v>2920</v>
      </c>
      <c r="B59" s="2881" t="str">
        <f>估价对象房地状况!C17</f>
        <v>估价对象位于XX商圈，周边办公楼项目较多，入驻率高，办公集聚程度较好</v>
      </c>
      <c r="C59" s="2770"/>
      <c r="D59" s="1288">
        <f t="shared" ref="D59:D67" si="15">SUMIF($J$58:$N$58,C59,J59:N59)</f>
        <v>0</v>
      </c>
      <c r="E59" s="821">
        <f>ROUND(SUM(D59:D67),4)</f>
        <v>0</v>
      </c>
      <c r="F59" s="2501"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2908</v>
      </c>
      <c r="B60" s="2882" t="str">
        <f>估价对象房地状况!C18</f>
        <v>估价对象周边道路状况、公共交通通达情况、停车便捷程度，综合评价交通便捷度较好</v>
      </c>
      <c r="C60" s="2770"/>
      <c r="D60" s="1288">
        <f t="shared" si="15"/>
        <v>0</v>
      </c>
      <c r="E60" s="822"/>
      <c r="F60" s="2501"/>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2909</v>
      </c>
      <c r="B61" s="2882" t="str">
        <f>估价对象房地状况!C19</f>
        <v>较一致</v>
      </c>
      <c r="C61" s="2770"/>
      <c r="D61" s="1288">
        <f t="shared" si="15"/>
        <v>0</v>
      </c>
      <c r="E61" s="822"/>
      <c r="F61" s="2501"/>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2910</v>
      </c>
      <c r="B62" s="2883" t="s">
        <v>2911</v>
      </c>
      <c r="C62" s="2770"/>
      <c r="D62" s="1288">
        <f t="shared" si="15"/>
        <v>0</v>
      </c>
      <c r="E62" s="822"/>
      <c r="F62" s="2501"/>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2912</v>
      </c>
      <c r="B63" s="2882">
        <f>估价对象房地状况!C24</f>
        <v>0</v>
      </c>
      <c r="C63" s="2770"/>
      <c r="D63" s="1288">
        <f t="shared" si="15"/>
        <v>0</v>
      </c>
      <c r="E63" s="822"/>
      <c r="F63" s="2501"/>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2913</v>
      </c>
      <c r="B64" s="2884" t="s">
        <v>2914</v>
      </c>
      <c r="C64" s="2770"/>
      <c r="D64" s="1288">
        <f t="shared" si="15"/>
        <v>0</v>
      </c>
      <c r="E64" s="822"/>
      <c r="F64" s="2501"/>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2915</v>
      </c>
      <c r="B65" s="1727" t="str">
        <f>估价对象房地状况!C21</f>
        <v>估价对象所在区域公共配套设施齐备情况</v>
      </c>
      <c r="C65" s="2770"/>
      <c r="D65" s="1288">
        <f t="shared" si="15"/>
        <v>0</v>
      </c>
      <c r="E65" s="822"/>
      <c r="F65" s="2501"/>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2916</v>
      </c>
      <c r="B66" s="1727" t="str">
        <f>估价对象房地状况!C22</f>
        <v>估价对象所在区域基础设施水平</v>
      </c>
      <c r="C66" s="2770"/>
      <c r="D66" s="1288">
        <f t="shared" si="15"/>
        <v>0</v>
      </c>
      <c r="E66" s="822"/>
      <c r="F66" s="2501"/>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2917</v>
      </c>
      <c r="B67" s="2888" t="str">
        <f>估价对象房地状况!C20</f>
        <v>区域自然环境：；人文环境；综合评价环境状况一般</v>
      </c>
      <c r="C67" s="2770"/>
      <c r="D67" s="1288">
        <f t="shared" si="15"/>
        <v>0</v>
      </c>
      <c r="E67" s="825"/>
      <c r="F67" s="2501"/>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2921</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2899</v>
      </c>
      <c r="B69" s="1811"/>
      <c r="C69" s="1811" t="s">
        <v>2901</v>
      </c>
      <c r="D69" s="1811" t="s">
        <v>2902</v>
      </c>
      <c r="E69" s="819" t="s">
        <v>2903</v>
      </c>
      <c r="F69" s="2879" t="s">
        <v>2919</v>
      </c>
      <c r="G69" s="1811" t="s">
        <v>753</v>
      </c>
      <c r="H69" s="2880" t="s">
        <v>2905</v>
      </c>
      <c r="I69" s="1811" t="s">
        <v>2906</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51">
      <c r="A70" s="2878" t="s">
        <v>2922</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2908</v>
      </c>
      <c r="B71" s="2882" t="str">
        <f>估价对象房地状况!C18</f>
        <v>估价对象周边道路状况、公共交通通达情况、停车便捷程度，综合评价交通便捷度较好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2909</v>
      </c>
      <c r="B72" s="2882" t="str">
        <f>估价对象房地状况!C19</f>
        <v>较一致</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2923</v>
      </c>
      <c r="B73" s="2882">
        <f>估价对象房地状况!C24</f>
        <v>0</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2915</v>
      </c>
      <c r="B74" s="1727" t="str">
        <f>估价对象房地状况!C21</f>
        <v>估价对象所在区域公共配套设施齐备情况</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2916</v>
      </c>
      <c r="B75" s="1727" t="str">
        <f>估价对象房地状况!C22</f>
        <v>估价对象所在区域基础设施水平</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2913</v>
      </c>
      <c r="B76" s="2884" t="s">
        <v>2914</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2917</v>
      </c>
      <c r="B77" s="2881" t="str">
        <f>估价对象房地状况!C20</f>
        <v>区域自然环境：；人文环境；综合评价环境状况一般</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2924</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2925</v>
      </c>
      <c r="B79" s="2875">
        <f>1+E81</f>
        <v>1</v>
      </c>
      <c r="C79" s="814"/>
      <c r="D79" s="814"/>
      <c r="E79" s="815"/>
      <c r="F79" s="2877"/>
      <c r="G79" s="6"/>
      <c r="H79" s="6"/>
      <c r="I79" s="6"/>
      <c r="J79" s="7"/>
      <c r="K79" s="7"/>
      <c r="L79" s="7"/>
      <c r="M79" s="7"/>
      <c r="N79" s="7"/>
      <c r="Z79" s="2720"/>
      <c r="AA79" s="2796"/>
      <c r="AG79" s="1374"/>
      <c r="AK79" s="2796"/>
    </row>
    <row r="80" spans="1:37" ht="24.75">
      <c r="A80" s="2878" t="s">
        <v>2899</v>
      </c>
      <c r="B80" s="1811"/>
      <c r="C80" s="1811" t="s">
        <v>2901</v>
      </c>
      <c r="D80" s="1811" t="s">
        <v>2902</v>
      </c>
      <c r="E80" s="819" t="s">
        <v>2903</v>
      </c>
      <c r="F80" s="2879" t="s">
        <v>2919</v>
      </c>
      <c r="G80" s="1811" t="s">
        <v>753</v>
      </c>
      <c r="H80" s="2880" t="s">
        <v>2905</v>
      </c>
      <c r="I80" s="1811" t="s">
        <v>2906</v>
      </c>
      <c r="J80" s="603" t="s">
        <v>2553</v>
      </c>
      <c r="K80" s="603" t="s">
        <v>2554</v>
      </c>
      <c r="L80" s="603" t="s">
        <v>2555</v>
      </c>
      <c r="M80" s="603" t="s">
        <v>2556</v>
      </c>
      <c r="N80" s="603" t="s">
        <v>2557</v>
      </c>
      <c r="Z80" s="2720"/>
      <c r="AA80" s="2796"/>
      <c r="AG80" s="1374"/>
      <c r="AK80" s="2796"/>
    </row>
    <row r="81" spans="1:37" ht="38.25">
      <c r="A81" s="2878" t="s">
        <v>2926</v>
      </c>
      <c r="B81" s="2882" t="str">
        <f>估价对象房地状况!G15</f>
        <v>估价对象位廊坊开发区，周边工业建设较成熟，产业集聚程度较好</v>
      </c>
      <c r="C81" s="2770"/>
      <c r="D81" s="1288">
        <f t="shared" ref="D81:D88" si="25">SUMIF($J$80:$N$80,C81,J81:N81)</f>
        <v>0</v>
      </c>
      <c r="E81" s="821">
        <f>ROUND(SUM(D81:D88),4)</f>
        <v>0</v>
      </c>
      <c r="F81" s="250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63.75">
      <c r="A82" s="2878" t="s">
        <v>2908</v>
      </c>
      <c r="B82" s="2882" t="str">
        <f>估价对象房地状况!G16</f>
        <v>估价对象周边有16路、17路等多条公共路线、停车较便捷，东距城市主干道600米，综合评价交通便捷度较好</v>
      </c>
      <c r="C82" s="2770"/>
      <c r="D82" s="1288">
        <f t="shared" si="25"/>
        <v>0</v>
      </c>
      <c r="E82" s="826"/>
      <c r="F82" s="2501"/>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2909</v>
      </c>
      <c r="B83" s="2882">
        <f>估价对象房地状况!G17</f>
        <v>0</v>
      </c>
      <c r="C83" s="2770"/>
      <c r="D83" s="1288">
        <f t="shared" si="25"/>
        <v>0</v>
      </c>
      <c r="E83" s="826"/>
      <c r="F83" s="2501"/>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2923</v>
      </c>
      <c r="B84" s="2882" t="str">
        <f>估价对象房地状况!G22</f>
        <v>次干道——北凤道</v>
      </c>
      <c r="C84" s="2770"/>
      <c r="D84" s="1288">
        <f t="shared" si="25"/>
        <v>0</v>
      </c>
      <c r="E84" s="826"/>
      <c r="F84" s="2501"/>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2915</v>
      </c>
      <c r="B85" s="1727" t="str">
        <f>估价对象房地状况!G19</f>
        <v>估价对象所在区域公共配套设施齐备情况一般</v>
      </c>
      <c r="C85" s="2770"/>
      <c r="D85" s="1288">
        <f t="shared" si="25"/>
        <v>0</v>
      </c>
      <c r="E85" s="826"/>
      <c r="F85" s="2501"/>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2916</v>
      </c>
      <c r="B86" s="1727" t="str">
        <f>估价对象房地状况!G20</f>
        <v>估价对象所在区域基础设施水平七通</v>
      </c>
      <c r="C86" s="2770"/>
      <c r="D86" s="1288">
        <f t="shared" si="25"/>
        <v>0</v>
      </c>
      <c r="E86" s="826"/>
      <c r="F86" s="2501"/>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2913</v>
      </c>
      <c r="B87" s="2884" t="s">
        <v>2927</v>
      </c>
      <c r="C87" s="2770"/>
      <c r="D87" s="1288">
        <f t="shared" si="25"/>
        <v>0</v>
      </c>
      <c r="E87" s="826"/>
      <c r="F87" s="2501"/>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2928</v>
      </c>
      <c r="B88" s="2891" t="str">
        <f>估价对象房地状况!G18</f>
        <v>该园区内无污染型企业，绿化较好，卫生条件良好，整体环境状况较好</v>
      </c>
      <c r="C88" s="2770"/>
      <c r="D88" s="1288">
        <f t="shared" si="25"/>
        <v>0</v>
      </c>
      <c r="E88" s="827"/>
      <c r="F88" s="2501"/>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52" t="s">
        <v>2929</v>
      </c>
      <c r="B90" s="3252"/>
      <c r="C90" s="3252"/>
      <c r="D90" s="3252"/>
      <c r="E90" s="3252"/>
      <c r="F90" s="3252"/>
      <c r="G90" s="3252"/>
      <c r="H90" s="3252"/>
      <c r="I90" s="3252"/>
      <c r="J90" s="3252"/>
      <c r="K90" s="2892"/>
      <c r="L90" s="2892"/>
      <c r="M90" s="2892"/>
      <c r="N90" s="2892"/>
    </row>
    <row r="91" spans="1:37">
      <c r="A91" s="3254" t="s">
        <v>2930</v>
      </c>
      <c r="B91" s="3254" t="s">
        <v>2931</v>
      </c>
      <c r="C91" s="2846" t="s">
        <v>2932</v>
      </c>
      <c r="D91" s="2847"/>
      <c r="E91" s="2847"/>
      <c r="F91" s="2847"/>
      <c r="G91" s="2847"/>
      <c r="H91" s="2847"/>
      <c r="I91" s="2847"/>
      <c r="J91" s="2893"/>
      <c r="K91" s="2894"/>
      <c r="L91" s="2894"/>
      <c r="M91" s="2894"/>
      <c r="N91" s="2894"/>
    </row>
    <row r="92" spans="1:37">
      <c r="A92" s="3254"/>
      <c r="B92" s="3254"/>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55" t="s">
        <v>2933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6"/>
      <c r="B99" s="2895" t="s">
        <v>2812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5" t="s">
        <v>2934</v>
      </c>
      <c r="B101" s="2899" t="s">
        <v>2935</v>
      </c>
      <c r="C101" s="2900">
        <f>$G$3</f>
        <v>0.72</v>
      </c>
      <c r="D101" s="2900">
        <f t="shared" ref="D101:N101" si="31">$G$3</f>
        <v>0.72</v>
      </c>
      <c r="E101" s="2900">
        <f t="shared" si="31"/>
        <v>0.72</v>
      </c>
      <c r="F101" s="2900">
        <f t="shared" si="31"/>
        <v>0.72</v>
      </c>
      <c r="G101" s="2900">
        <f t="shared" si="31"/>
        <v>0.72</v>
      </c>
      <c r="H101" s="2900">
        <f t="shared" si="31"/>
        <v>0.72</v>
      </c>
      <c r="I101" s="2900">
        <f t="shared" si="31"/>
        <v>0.72</v>
      </c>
      <c r="J101" s="2900">
        <f t="shared" si="31"/>
        <v>0.72</v>
      </c>
      <c r="K101" s="2900">
        <f t="shared" si="31"/>
        <v>0.72</v>
      </c>
      <c r="L101" s="2900">
        <f t="shared" si="31"/>
        <v>0.72</v>
      </c>
      <c r="M101" s="2900">
        <f t="shared" si="31"/>
        <v>0.72</v>
      </c>
      <c r="N101" s="2900">
        <f t="shared" si="31"/>
        <v>0.72</v>
      </c>
    </row>
    <row r="102" spans="1:14">
      <c r="A102" s="3256"/>
      <c r="B102" s="2895">
        <v>1</v>
      </c>
      <c r="C102" s="2896">
        <f>1.9362/C101</f>
        <v>2.6891666666666665</v>
      </c>
      <c r="D102" s="2896">
        <f>1.9362/D101</f>
        <v>2.6891666666666665</v>
      </c>
      <c r="E102" s="2896">
        <f>1.8629/E101</f>
        <v>2.587361111111111</v>
      </c>
      <c r="F102" s="2896">
        <f>1.8629/F101</f>
        <v>2.587361111111111</v>
      </c>
      <c r="G102" s="2896">
        <f>1.8629/G101</f>
        <v>2.587361111111111</v>
      </c>
      <c r="H102" s="2896">
        <f>1.8629/H101</f>
        <v>2.587361111111111</v>
      </c>
      <c r="I102" s="2896">
        <f>1.8629/I101</f>
        <v>2.587361111111111</v>
      </c>
      <c r="J102" s="2896">
        <f>1.942/J101</f>
        <v>2.6972222222222224</v>
      </c>
      <c r="K102" s="2896">
        <f>1.942/K101</f>
        <v>2.6972222222222224</v>
      </c>
      <c r="L102" s="2896">
        <f>1.942/L101</f>
        <v>2.6972222222222224</v>
      </c>
      <c r="M102" s="2896">
        <f>1.942/M101</f>
        <v>2.6972222222222224</v>
      </c>
      <c r="N102" s="2896">
        <f>1.942/N101</f>
        <v>2.6972222222222224</v>
      </c>
    </row>
    <row r="103" spans="1:14">
      <c r="A103" s="3256"/>
      <c r="B103" s="2895">
        <v>2</v>
      </c>
      <c r="C103" s="2896">
        <f>1.4198/C101</f>
        <v>1.9719444444444445</v>
      </c>
      <c r="D103" s="2896">
        <f>1.4198/D101</f>
        <v>1.9719444444444445</v>
      </c>
      <c r="E103" s="2896">
        <f>1.3372/E101</f>
        <v>1.8572222222222221</v>
      </c>
      <c r="F103" s="2896">
        <f>1.3372/F101</f>
        <v>1.8572222222222221</v>
      </c>
      <c r="G103" s="2896">
        <f>1.3372/G101</f>
        <v>1.8572222222222221</v>
      </c>
      <c r="H103" s="2896">
        <f>1.3372/H101</f>
        <v>1.8572222222222221</v>
      </c>
      <c r="I103" s="2896">
        <f>1.3372/I101</f>
        <v>1.8572222222222221</v>
      </c>
      <c r="J103" s="2896">
        <f>1.2799/J101</f>
        <v>1.777638888888889</v>
      </c>
      <c r="K103" s="2896">
        <f>1.2799/K101</f>
        <v>1.777638888888889</v>
      </c>
      <c r="L103" s="2896">
        <f>1.2799/L101</f>
        <v>1.777638888888889</v>
      </c>
      <c r="M103" s="2896">
        <f>1.2799/M101</f>
        <v>1.777638888888889</v>
      </c>
      <c r="N103" s="2896">
        <f>1.2799/N101</f>
        <v>1.777638888888889</v>
      </c>
    </row>
    <row r="104" spans="1:14">
      <c r="A104" s="3256"/>
      <c r="B104" s="2895">
        <v>3</v>
      </c>
      <c r="C104" s="2896">
        <f>1.1594/C101</f>
        <v>1.6102777777777779</v>
      </c>
      <c r="D104" s="2896">
        <f>1.1594/D101</f>
        <v>1.6102777777777779</v>
      </c>
      <c r="E104" s="2896">
        <f>1.0788/E101</f>
        <v>1.4983333333333333</v>
      </c>
      <c r="F104" s="2896">
        <f>1.0788/F101</f>
        <v>1.4983333333333333</v>
      </c>
      <c r="G104" s="2896">
        <f>1.0788/G101</f>
        <v>1.4983333333333333</v>
      </c>
      <c r="H104" s="2896">
        <f>1.0788/H101</f>
        <v>1.4983333333333333</v>
      </c>
      <c r="I104" s="2896">
        <f>1.0788/I101</f>
        <v>1.4983333333333333</v>
      </c>
      <c r="J104" s="2896">
        <f>1.0072/J101</f>
        <v>1.3988888888888891</v>
      </c>
      <c r="K104" s="2896">
        <f>1.0072/K101</f>
        <v>1.3988888888888891</v>
      </c>
      <c r="L104" s="2896">
        <f>1.0072/L101</f>
        <v>1.3988888888888891</v>
      </c>
      <c r="M104" s="2896">
        <f>1.0072/M101</f>
        <v>1.3988888888888891</v>
      </c>
      <c r="N104" s="2896">
        <f>1.0072/N101</f>
        <v>1.3988888888888891</v>
      </c>
    </row>
    <row r="105" spans="1:14">
      <c r="A105" s="3256"/>
      <c r="B105" s="2895">
        <v>4</v>
      </c>
      <c r="C105" s="2896">
        <f>0.9622/C101</f>
        <v>1.3363888888888891</v>
      </c>
      <c r="D105" s="2896">
        <f>0.9622/D101</f>
        <v>1.3363888888888891</v>
      </c>
      <c r="E105" s="2896">
        <f>0.8656/E101</f>
        <v>1.2022222222222223</v>
      </c>
      <c r="F105" s="2896">
        <f>0.8656/F101</f>
        <v>1.2022222222222223</v>
      </c>
      <c r="G105" s="2896">
        <f>0.8656/G101</f>
        <v>1.2022222222222223</v>
      </c>
      <c r="H105" s="2896">
        <f>0.8656/H101</f>
        <v>1.2022222222222223</v>
      </c>
      <c r="I105" s="2896">
        <f>0.8656/I101</f>
        <v>1.2022222222222223</v>
      </c>
      <c r="J105" s="2896">
        <f>0.7525/J101</f>
        <v>1.0451388888888888</v>
      </c>
      <c r="K105" s="2896">
        <f>0.7525/K101</f>
        <v>1.0451388888888888</v>
      </c>
      <c r="L105" s="2896">
        <f>0.7525/L101</f>
        <v>1.0451388888888888</v>
      </c>
      <c r="M105" s="2896">
        <f>0.7525/M101</f>
        <v>1.0451388888888888</v>
      </c>
      <c r="N105" s="2896">
        <f>0.7525/N101</f>
        <v>1.0451388888888888</v>
      </c>
    </row>
    <row r="106" spans="1:14">
      <c r="A106" s="3256"/>
      <c r="B106" s="2895">
        <v>5</v>
      </c>
      <c r="C106" s="2896">
        <f>0.8417/C101</f>
        <v>1.1690277777777778</v>
      </c>
      <c r="D106" s="2896">
        <f>0.8417/D101</f>
        <v>1.1690277777777778</v>
      </c>
      <c r="E106" s="2896">
        <f>0.7371/E101</f>
        <v>1.0237499999999999</v>
      </c>
      <c r="F106" s="2896">
        <f>0.7371/F101</f>
        <v>1.0237499999999999</v>
      </c>
      <c r="G106" s="2896">
        <f>0.7371/G101</f>
        <v>1.0237499999999999</v>
      </c>
      <c r="H106" s="2896">
        <f>0.7371/H101</f>
        <v>1.0237499999999999</v>
      </c>
      <c r="I106" s="2896">
        <f>0.7371/I101</f>
        <v>1.0237499999999999</v>
      </c>
      <c r="J106" s="2896">
        <f>0.5659/J101</f>
        <v>0.78597222222222218</v>
      </c>
      <c r="K106" s="2896">
        <f>0.5659/K101</f>
        <v>0.78597222222222218</v>
      </c>
      <c r="L106" s="2896">
        <f>0.5659/L101</f>
        <v>0.78597222222222218</v>
      </c>
      <c r="M106" s="2896">
        <f>0.5659/M101</f>
        <v>0.78597222222222218</v>
      </c>
      <c r="N106" s="2896">
        <f>0.5659/N101</f>
        <v>0.78597222222222218</v>
      </c>
    </row>
    <row r="107" spans="1:14">
      <c r="A107" s="3256"/>
      <c r="B107" s="2895">
        <v>6</v>
      </c>
      <c r="C107" s="2896">
        <f>0.7608/C101</f>
        <v>1.0566666666666666</v>
      </c>
      <c r="D107" s="2896">
        <f>0.7608/D101</f>
        <v>1.0566666666666666</v>
      </c>
      <c r="E107" s="2896">
        <f>0.6482/E101</f>
        <v>0.90027777777777784</v>
      </c>
      <c r="F107" s="2896">
        <f>0.6482/F101</f>
        <v>0.90027777777777784</v>
      </c>
      <c r="G107" s="2896">
        <f>0.6482/G101</f>
        <v>0.90027777777777784</v>
      </c>
      <c r="H107" s="2896">
        <f>0.6482/H101</f>
        <v>0.90027777777777784</v>
      </c>
      <c r="I107" s="2896">
        <f>0.6482/I101</f>
        <v>0.90027777777777784</v>
      </c>
      <c r="J107" s="2896">
        <f>0.4525/J101</f>
        <v>0.62847222222222221</v>
      </c>
      <c r="K107" s="2896">
        <f>0.4525/K101</f>
        <v>0.62847222222222221</v>
      </c>
      <c r="L107" s="2896">
        <f>0.4525/L101</f>
        <v>0.62847222222222221</v>
      </c>
      <c r="M107" s="2896">
        <f>0.4525/M101</f>
        <v>0.62847222222222221</v>
      </c>
      <c r="N107" s="2896">
        <f>0.4525/N101</f>
        <v>0.62847222222222221</v>
      </c>
    </row>
    <row r="108" spans="1:14">
      <c r="A108" s="3256"/>
      <c r="B108" s="3083" t="s">
        <v>2936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7"/>
      <c r="B109" s="3084"/>
      <c r="C109" s="2898">
        <f>(-0.163*(C108^2)-0.59*C108+7617)*(10^(-4))/C101</f>
        <v>1.0579166666666668</v>
      </c>
      <c r="D109" s="2898">
        <f>(-0.163*(D108^2)-0.59*D108+7617)*(10^(-4))/D101</f>
        <v>1.0579166666666668</v>
      </c>
      <c r="E109" s="2898">
        <f>(-0.161*(E108^2)-7.509*E108+6533)*(10^(-4))/E101</f>
        <v>0.90736111111111117</v>
      </c>
      <c r="F109" s="2898">
        <f>(-0.161*(F108^2)-7.509*F108+6533)*(10^(-4))/F101</f>
        <v>0.90736111111111117</v>
      </c>
      <c r="G109" s="2898">
        <f>(-0.161*(G108^2)-7.509*G108+6533)*(10^(-4))/G101</f>
        <v>0.90736111111111117</v>
      </c>
      <c r="H109" s="2898">
        <f>(-0.161*(H108^2)-7.509*H108+6533)*(10^(-4))/H101</f>
        <v>0.90736111111111117</v>
      </c>
      <c r="I109" s="2898">
        <f>(-0.161*(I108^2)-7.509*I108+6533)*(10^(-4))/I101</f>
        <v>0.90736111111111117</v>
      </c>
      <c r="J109" s="2898">
        <f>(-0.214*(J108^2)-21.991*J108+4665)*(10^(-4))/J101</f>
        <v>0.6479166666666667</v>
      </c>
      <c r="K109" s="2898">
        <f>(-0.214*(K108^2)-21.991*K108+4665)*(10^(-4))/K101</f>
        <v>0.6479166666666667</v>
      </c>
      <c r="L109" s="2898">
        <f>(-0.214*(L108^2)-21.991*L108+4665)*(10^(-4))/L101</f>
        <v>0.6479166666666667</v>
      </c>
      <c r="M109" s="2898">
        <f>(-0.214*(M108^2)-21.991*M108+4665)*(10^(-4))/M101</f>
        <v>0.6479166666666667</v>
      </c>
      <c r="N109" s="2898">
        <f>(-0.214*(N108^2)-21.991*N108+4665)*(10^(-4))/N101</f>
        <v>0.6479166666666667</v>
      </c>
    </row>
    <row r="110" spans="1:14">
      <c r="A110" s="3253" t="s">
        <v>2937</v>
      </c>
      <c r="B110" s="3253"/>
      <c r="C110" s="3253"/>
      <c r="D110" s="3253"/>
      <c r="E110" s="3253"/>
      <c r="F110" s="3253"/>
      <c r="G110" s="3253"/>
      <c r="H110" s="3253"/>
      <c r="I110" s="3253"/>
      <c r="J110" s="3253"/>
      <c r="K110" s="2901"/>
      <c r="L110" s="2901"/>
      <c r="M110" s="2901"/>
      <c r="N110" s="2901"/>
    </row>
    <row r="112" spans="1:14" ht="13.5" thickBot="1"/>
    <row r="113" spans="1:13" ht="25.5" thickBot="1">
      <c r="A113" s="903" t="s">
        <v>2938</v>
      </c>
      <c r="B113" s="1289">
        <f>G3</f>
        <v>0.72</v>
      </c>
      <c r="C113" s="904" t="s">
        <v>2939</v>
      </c>
      <c r="D113" s="905">
        <f>SUMPRODUCT((A115:A118=F113)*(B114:M114=H113)*B115:M118)</f>
        <v>0</v>
      </c>
      <c r="E113" s="2724" t="s">
        <v>2769</v>
      </c>
      <c r="F113" s="2903">
        <f>E2</f>
        <v>0</v>
      </c>
      <c r="G113" s="2724" t="s">
        <v>2770</v>
      </c>
      <c r="H113" s="2903">
        <f>G2</f>
        <v>0</v>
      </c>
      <c r="I113" s="2724"/>
      <c r="J113" s="2904"/>
      <c r="K113" s="2904"/>
      <c r="L113" s="2904"/>
      <c r="M113" s="2904"/>
    </row>
    <row r="114" spans="1:13">
      <c r="A114" s="908"/>
      <c r="B114" s="2905" t="s">
        <v>2940</v>
      </c>
      <c r="C114" s="2905" t="s">
        <v>2941</v>
      </c>
      <c r="D114" s="2905" t="s">
        <v>2942</v>
      </c>
      <c r="E114" s="2906" t="s">
        <v>2943</v>
      </c>
      <c r="F114" s="2906" t="s">
        <v>2944</v>
      </c>
      <c r="G114" s="2906" t="s">
        <v>2945</v>
      </c>
      <c r="H114" s="2907" t="s">
        <v>2946</v>
      </c>
      <c r="I114" s="2907" t="s">
        <v>2947</v>
      </c>
      <c r="J114" s="2908" t="s">
        <v>2948</v>
      </c>
      <c r="K114" s="2908" t="s">
        <v>2949</v>
      </c>
      <c r="L114" s="2908" t="s">
        <v>2950</v>
      </c>
      <c r="M114" s="2909" t="s">
        <v>2951</v>
      </c>
    </row>
    <row r="115" spans="1:13">
      <c r="A115" s="909" t="s">
        <v>2834</v>
      </c>
      <c r="B115" s="910">
        <f>ROUND(0.9335-0.0094*B113,4)</f>
        <v>0.92669999999999997</v>
      </c>
      <c r="C115" s="910">
        <f>B115</f>
        <v>0.92669999999999997</v>
      </c>
      <c r="D115" s="910">
        <f>ROUND(0.8331-0.0109*B113,4)</f>
        <v>0.82530000000000003</v>
      </c>
      <c r="E115" s="910">
        <f>D115</f>
        <v>0.82530000000000003</v>
      </c>
      <c r="F115" s="910">
        <f>E115</f>
        <v>0.82530000000000003</v>
      </c>
      <c r="G115" s="910">
        <f>F115</f>
        <v>0.82530000000000003</v>
      </c>
      <c r="H115" s="910">
        <f>G115</f>
        <v>0.82530000000000003</v>
      </c>
      <c r="I115" s="910">
        <f>ROUND(0.689-0.0155*B113,4)</f>
        <v>0.67779999999999996</v>
      </c>
      <c r="J115" s="910">
        <f t="shared" ref="J115:M118" si="33">I115</f>
        <v>0.67779999999999996</v>
      </c>
      <c r="K115" s="910">
        <f t="shared" si="33"/>
        <v>0.67779999999999996</v>
      </c>
      <c r="L115" s="910">
        <f t="shared" si="33"/>
        <v>0.67779999999999996</v>
      </c>
      <c r="M115" s="911">
        <f t="shared" si="33"/>
        <v>0.67779999999999996</v>
      </c>
    </row>
    <row r="116" spans="1:13">
      <c r="A116" s="909" t="s">
        <v>2835</v>
      </c>
      <c r="B116" s="910">
        <f>ROUND(0.949-0.012*B113,4)</f>
        <v>0.94040000000000001</v>
      </c>
      <c r="C116" s="910">
        <f>B116</f>
        <v>0.94040000000000001</v>
      </c>
      <c r="D116" s="910">
        <f>ROUND(0.8567-0.013*B113,4)</f>
        <v>0.84730000000000005</v>
      </c>
      <c r="E116" s="910">
        <f t="shared" ref="E116:H117" si="34">D116</f>
        <v>0.84730000000000005</v>
      </c>
      <c r="F116" s="910">
        <f t="shared" si="34"/>
        <v>0.84730000000000005</v>
      </c>
      <c r="G116" s="910">
        <f t="shared" si="34"/>
        <v>0.84730000000000005</v>
      </c>
      <c r="H116" s="910">
        <f t="shared" si="34"/>
        <v>0.84730000000000005</v>
      </c>
      <c r="I116" s="910">
        <f>ROUND(0.7694-0.014*B113,4)</f>
        <v>0.75929999999999997</v>
      </c>
      <c r="J116" s="910">
        <f t="shared" si="33"/>
        <v>0.75929999999999997</v>
      </c>
      <c r="K116" s="910">
        <f t="shared" si="33"/>
        <v>0.75929999999999997</v>
      </c>
      <c r="L116" s="910">
        <f t="shared" si="33"/>
        <v>0.75929999999999997</v>
      </c>
      <c r="M116" s="911">
        <f t="shared" si="33"/>
        <v>0.75929999999999997</v>
      </c>
    </row>
    <row r="117" spans="1:13">
      <c r="A117" s="909" t="s">
        <v>2836</v>
      </c>
      <c r="B117" s="910">
        <f>ROUND(0.8808-0.006*B113,4)</f>
        <v>0.87649999999999995</v>
      </c>
      <c r="C117" s="910">
        <f>B117</f>
        <v>0.87649999999999995</v>
      </c>
      <c r="D117" s="910">
        <f>ROUND(0.8748-0.008*B113,4)</f>
        <v>0.86899999999999999</v>
      </c>
      <c r="E117" s="910">
        <f t="shared" si="34"/>
        <v>0.86899999999999999</v>
      </c>
      <c r="F117" s="910">
        <f t="shared" si="34"/>
        <v>0.86899999999999999</v>
      </c>
      <c r="G117" s="910">
        <f t="shared" si="34"/>
        <v>0.86899999999999999</v>
      </c>
      <c r="H117" s="910">
        <f t="shared" si="34"/>
        <v>0.86899999999999999</v>
      </c>
      <c r="I117" s="910">
        <f>ROUND(0.7412-0.0095*B113,4)</f>
        <v>0.73440000000000005</v>
      </c>
      <c r="J117" s="910">
        <f t="shared" si="33"/>
        <v>0.73440000000000005</v>
      </c>
      <c r="K117" s="910">
        <f t="shared" si="33"/>
        <v>0.73440000000000005</v>
      </c>
      <c r="L117" s="910">
        <f t="shared" si="33"/>
        <v>0.73440000000000005</v>
      </c>
      <c r="M117" s="911">
        <f t="shared" si="33"/>
        <v>0.73440000000000005</v>
      </c>
    </row>
    <row r="118" spans="1:13" ht="13.5" thickBot="1">
      <c r="A118" s="714" t="s">
        <v>2837</v>
      </c>
      <c r="B118" s="912">
        <f>ROUND(0.7275-0.01*B113,4)</f>
        <v>0.72030000000000005</v>
      </c>
      <c r="C118" s="912">
        <f>B118</f>
        <v>0.72030000000000005</v>
      </c>
      <c r="D118" s="912">
        <f>ROUND(0.7043-0.012*B113,4)</f>
        <v>0.69569999999999999</v>
      </c>
      <c r="E118" s="912">
        <f>D118</f>
        <v>0.69569999999999999</v>
      </c>
      <c r="F118" s="912">
        <f>E118</f>
        <v>0.69569999999999999</v>
      </c>
      <c r="G118" s="912">
        <f>ROUND(0.6299-0.0122*B113,4)</f>
        <v>0.62109999999999999</v>
      </c>
      <c r="H118" s="912">
        <f>G118</f>
        <v>0.62109999999999999</v>
      </c>
      <c r="I118" s="912">
        <f>ROUND(0.5667-0.0136*B113,4)</f>
        <v>0.55689999999999995</v>
      </c>
      <c r="J118" s="912">
        <f t="shared" si="33"/>
        <v>0.55689999999999995</v>
      </c>
      <c r="K118" s="912">
        <f t="shared" si="33"/>
        <v>0.55689999999999995</v>
      </c>
      <c r="L118" s="912">
        <f t="shared" si="33"/>
        <v>0.55689999999999995</v>
      </c>
      <c r="M118" s="913">
        <f t="shared" si="33"/>
        <v>0.55689999999999995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545</v>
      </c>
      <c r="B1" s="831" t="s">
        <v>156</v>
      </c>
      <c r="C1" s="831" t="s">
        <v>157</v>
      </c>
      <c r="D1" s="831" t="s">
        <v>158</v>
      </c>
      <c r="E1" s="831" t="s">
        <v>159</v>
      </c>
      <c r="F1" s="831" t="s">
        <v>160</v>
      </c>
      <c r="G1" s="831" t="s">
        <v>161</v>
      </c>
      <c r="H1" s="831" t="s">
        <v>162</v>
      </c>
      <c r="I1" s="831" t="s">
        <v>163</v>
      </c>
      <c r="J1" s="831" t="s">
        <v>164</v>
      </c>
      <c r="K1" s="831" t="s">
        <v>165</v>
      </c>
      <c r="L1" s="831" t="s">
        <v>166</v>
      </c>
      <c r="M1" s="832" t="s">
        <v>167</v>
      </c>
    </row>
    <row r="2" spans="1:13" ht="19.5" customHeight="1">
      <c r="A2" s="857" t="s">
        <v>182</v>
      </c>
      <c r="B2" s="858">
        <v>3.5</v>
      </c>
      <c r="C2" s="858">
        <v>3.5</v>
      </c>
      <c r="D2" s="859">
        <v>2.5</v>
      </c>
      <c r="E2" s="859">
        <v>2.5</v>
      </c>
      <c r="F2" s="859">
        <v>2.5</v>
      </c>
      <c r="G2" s="859">
        <v>2.5</v>
      </c>
      <c r="H2" s="859">
        <v>2.5</v>
      </c>
      <c r="I2" s="858">
        <v>2</v>
      </c>
      <c r="J2" s="858">
        <v>2</v>
      </c>
      <c r="K2" s="858">
        <v>2</v>
      </c>
      <c r="L2" s="858">
        <v>2</v>
      </c>
      <c r="M2" s="860">
        <v>2</v>
      </c>
    </row>
    <row r="3" spans="1:13" ht="19.5" customHeight="1">
      <c r="A3" s="861" t="s">
        <v>183</v>
      </c>
      <c r="B3" s="862">
        <v>3.5</v>
      </c>
      <c r="C3" s="862">
        <v>3.5</v>
      </c>
      <c r="D3" s="863">
        <v>2.5</v>
      </c>
      <c r="E3" s="863">
        <v>2.5</v>
      </c>
      <c r="F3" s="863">
        <v>2.5</v>
      </c>
      <c r="G3" s="863">
        <v>2.5</v>
      </c>
      <c r="H3" s="863">
        <v>2.5</v>
      </c>
      <c r="I3" s="862">
        <v>2</v>
      </c>
      <c r="J3" s="862">
        <v>2</v>
      </c>
      <c r="K3" s="862">
        <v>2</v>
      </c>
      <c r="L3" s="862">
        <v>2</v>
      </c>
      <c r="M3" s="864">
        <v>2</v>
      </c>
    </row>
    <row r="4" spans="1:13" ht="19.5" customHeight="1">
      <c r="A4" s="861" t="s">
        <v>751</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185</v>
      </c>
      <c r="B5" s="866">
        <v>1.5</v>
      </c>
      <c r="C5" s="866">
        <v>1.5</v>
      </c>
      <c r="D5" s="866">
        <v>1.5</v>
      </c>
      <c r="E5" s="866">
        <v>1.5</v>
      </c>
      <c r="F5" s="866">
        <v>1.5</v>
      </c>
      <c r="G5" s="867">
        <v>1.2</v>
      </c>
      <c r="H5" s="867">
        <v>1.2</v>
      </c>
      <c r="I5" s="867">
        <v>1</v>
      </c>
      <c r="J5" s="867">
        <v>1</v>
      </c>
      <c r="K5" s="867">
        <v>1</v>
      </c>
      <c r="L5" s="867">
        <v>1</v>
      </c>
      <c r="M5" s="868">
        <v>1</v>
      </c>
    </row>
    <row r="6" spans="1:13" ht="19.5" customHeight="1">
      <c r="A6" s="869" t="s">
        <v>546</v>
      </c>
      <c r="B6" s="870">
        <v>80</v>
      </c>
      <c r="C6" s="870">
        <v>80</v>
      </c>
      <c r="D6" s="870">
        <v>65</v>
      </c>
      <c r="E6" s="870">
        <v>65</v>
      </c>
      <c r="F6" s="870">
        <v>65</v>
      </c>
      <c r="G6" s="870">
        <v>65</v>
      </c>
      <c r="H6" s="870">
        <v>65</v>
      </c>
      <c r="I6" s="870">
        <v>50</v>
      </c>
      <c r="J6" s="870">
        <v>50</v>
      </c>
      <c r="K6" s="870">
        <v>50</v>
      </c>
      <c r="L6" s="870">
        <v>50</v>
      </c>
      <c r="M6" s="871">
        <v>50</v>
      </c>
    </row>
    <row r="7" spans="1:13" ht="19.5" customHeight="1">
      <c r="A7" s="817" t="s">
        <v>547</v>
      </c>
      <c r="B7" s="818">
        <v>70</v>
      </c>
      <c r="C7" s="818">
        <v>70</v>
      </c>
      <c r="D7" s="818">
        <v>55</v>
      </c>
      <c r="E7" s="818">
        <v>55</v>
      </c>
      <c r="F7" s="818">
        <v>55</v>
      </c>
      <c r="G7" s="818">
        <v>55</v>
      </c>
      <c r="H7" s="818">
        <v>55</v>
      </c>
      <c r="I7" s="818">
        <v>40</v>
      </c>
      <c r="J7" s="818">
        <v>40</v>
      </c>
      <c r="K7" s="818">
        <v>40</v>
      </c>
      <c r="L7" s="818">
        <v>40</v>
      </c>
      <c r="M7" s="872">
        <v>40</v>
      </c>
    </row>
    <row r="8" spans="1:13" ht="19.5" customHeight="1">
      <c r="A8" s="817" t="s">
        <v>548</v>
      </c>
      <c r="B8" s="818">
        <v>20</v>
      </c>
      <c r="C8" s="818">
        <v>20</v>
      </c>
      <c r="D8" s="818">
        <v>15</v>
      </c>
      <c r="E8" s="818">
        <v>15</v>
      </c>
      <c r="F8" s="818">
        <v>15</v>
      </c>
      <c r="G8" s="818">
        <v>15</v>
      </c>
      <c r="H8" s="818">
        <v>15</v>
      </c>
      <c r="I8" s="818">
        <v>10</v>
      </c>
      <c r="J8" s="818">
        <v>10</v>
      </c>
      <c r="K8" s="818">
        <v>10</v>
      </c>
      <c r="L8" s="818">
        <v>10</v>
      </c>
      <c r="M8" s="872">
        <v>10</v>
      </c>
    </row>
    <row r="9" spans="1:13" ht="19.5" customHeight="1">
      <c r="A9" s="817" t="s">
        <v>549</v>
      </c>
      <c r="B9" s="818">
        <v>30</v>
      </c>
      <c r="C9" s="818">
        <v>30</v>
      </c>
      <c r="D9" s="818">
        <v>25</v>
      </c>
      <c r="E9" s="818">
        <v>25</v>
      </c>
      <c r="F9" s="818">
        <v>25</v>
      </c>
      <c r="G9" s="818">
        <v>25</v>
      </c>
      <c r="H9" s="818">
        <v>25</v>
      </c>
      <c r="I9" s="818">
        <v>20</v>
      </c>
      <c r="J9" s="818">
        <v>20</v>
      </c>
      <c r="K9" s="818">
        <v>20</v>
      </c>
      <c r="L9" s="818">
        <v>20</v>
      </c>
      <c r="M9" s="872">
        <v>20</v>
      </c>
    </row>
    <row r="10" spans="1:13" ht="19.5" customHeight="1">
      <c r="A10" s="817" t="s">
        <v>550</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551</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552</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553</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554</v>
      </c>
      <c r="B14" s="875">
        <v>0</v>
      </c>
      <c r="C14" s="875">
        <v>0</v>
      </c>
      <c r="D14" s="875">
        <v>0</v>
      </c>
      <c r="E14" s="875">
        <v>0</v>
      </c>
      <c r="F14" s="875">
        <v>0</v>
      </c>
      <c r="G14" s="875">
        <v>0</v>
      </c>
      <c r="H14" s="875">
        <v>0</v>
      </c>
      <c r="I14" s="875">
        <v>0</v>
      </c>
      <c r="J14" s="875">
        <v>0</v>
      </c>
      <c r="K14" s="875">
        <v>0</v>
      </c>
      <c r="L14" s="875">
        <v>0</v>
      </c>
      <c r="M14" s="875">
        <v>0</v>
      </c>
    </row>
    <row r="16" spans="1:13" ht="19.5" customHeight="1">
      <c r="A16" s="876" t="s">
        <v>555</v>
      </c>
      <c r="B16" s="876"/>
      <c r="C16" s="877"/>
      <c r="D16" s="877"/>
      <c r="E16" s="876"/>
      <c r="F16" s="877"/>
      <c r="G16" s="877"/>
    </row>
    <row r="17" spans="1:9" ht="19.5" customHeight="1">
      <c r="A17" s="818" t="s">
        <v>556</v>
      </c>
      <c r="B17" s="879" t="s">
        <v>557</v>
      </c>
      <c r="C17" s="936" t="s">
        <v>757</v>
      </c>
      <c r="D17" s="880"/>
      <c r="E17" s="818" t="s">
        <v>558</v>
      </c>
      <c r="F17" s="881"/>
      <c r="G17" s="881"/>
    </row>
    <row r="18" spans="1:9" s="887" customFormat="1" ht="19.5" customHeight="1">
      <c r="A18" s="3270" t="s">
        <v>182</v>
      </c>
      <c r="B18" s="882" t="s">
        <v>559</v>
      </c>
      <c r="C18" s="883" t="s">
        <v>560</v>
      </c>
      <c r="D18" s="884"/>
      <c r="E18" s="882">
        <v>1</v>
      </c>
      <c r="F18" s="885" t="s">
        <v>561</v>
      </c>
      <c r="G18" s="886"/>
      <c r="H18" s="878"/>
      <c r="I18" s="878"/>
    </row>
    <row r="19" spans="1:9" s="887" customFormat="1" ht="19.5" customHeight="1">
      <c r="A19" s="3270"/>
      <c r="B19" s="3270" t="s">
        <v>562</v>
      </c>
      <c r="C19" s="883" t="s">
        <v>563</v>
      </c>
      <c r="D19" s="884"/>
      <c r="E19" s="882">
        <v>0.9</v>
      </c>
      <c r="F19" s="885" t="s">
        <v>564</v>
      </c>
      <c r="G19" s="886"/>
      <c r="H19" s="878"/>
      <c r="I19" s="878"/>
    </row>
    <row r="20" spans="1:9" s="887" customFormat="1" ht="19.5" customHeight="1">
      <c r="A20" s="3270"/>
      <c r="B20" s="3270"/>
      <c r="C20" s="883" t="s">
        <v>565</v>
      </c>
      <c r="D20" s="884"/>
      <c r="E20" s="882">
        <v>1.1000000000000001</v>
      </c>
      <c r="F20" s="885" t="s">
        <v>566</v>
      </c>
      <c r="G20" s="886"/>
      <c r="H20" s="878"/>
      <c r="I20" s="878"/>
    </row>
    <row r="21" spans="1:9" s="887" customFormat="1" ht="19.5" customHeight="1">
      <c r="A21" s="3270"/>
      <c r="B21" s="3270"/>
      <c r="C21" s="883" t="s">
        <v>567</v>
      </c>
      <c r="D21" s="884"/>
      <c r="E21" s="882">
        <v>0.8</v>
      </c>
      <c r="F21" s="885" t="s">
        <v>568</v>
      </c>
      <c r="G21" s="886"/>
      <c r="H21" s="878"/>
      <c r="I21" s="878"/>
    </row>
    <row r="22" spans="1:9" s="887" customFormat="1" ht="19.5" customHeight="1">
      <c r="A22" s="3270"/>
      <c r="B22" s="3270"/>
      <c r="C22" s="883" t="s">
        <v>569</v>
      </c>
      <c r="D22" s="884"/>
      <c r="E22" s="882">
        <v>0.5</v>
      </c>
      <c r="F22" s="885"/>
      <c r="G22" s="886"/>
      <c r="H22" s="878"/>
      <c r="I22" s="878"/>
    </row>
    <row r="23" spans="1:9" s="887" customFormat="1" ht="19.5" customHeight="1">
      <c r="A23" s="3270" t="s">
        <v>183</v>
      </c>
      <c r="B23" s="882" t="s">
        <v>559</v>
      </c>
      <c r="C23" s="883" t="s">
        <v>570</v>
      </c>
      <c r="D23" s="884"/>
      <c r="E23" s="882">
        <v>1</v>
      </c>
      <c r="F23" s="885" t="s">
        <v>571</v>
      </c>
      <c r="G23" s="886"/>
      <c r="H23" s="878"/>
      <c r="I23" s="878"/>
    </row>
    <row r="24" spans="1:9" s="887" customFormat="1" ht="19.5" customHeight="1">
      <c r="A24" s="3270"/>
      <c r="B24" s="3270" t="s">
        <v>562</v>
      </c>
      <c r="C24" s="883" t="s">
        <v>572</v>
      </c>
      <c r="D24" s="884"/>
      <c r="E24" s="882">
        <v>0.5</v>
      </c>
      <c r="F24" s="885"/>
      <c r="G24" s="886"/>
      <c r="H24" s="878"/>
      <c r="I24" s="878"/>
    </row>
    <row r="25" spans="1:9" s="887" customFormat="1" ht="19.5" customHeight="1">
      <c r="A25" s="3270"/>
      <c r="B25" s="3270"/>
      <c r="C25" s="883" t="s">
        <v>573</v>
      </c>
      <c r="D25" s="884"/>
      <c r="E25" s="882">
        <v>1.1000000000000001</v>
      </c>
      <c r="F25" s="885"/>
      <c r="G25" s="886"/>
      <c r="H25" s="878"/>
      <c r="I25" s="878"/>
    </row>
    <row r="26" spans="1:9" s="887" customFormat="1" ht="19.5" customHeight="1">
      <c r="A26" s="3270"/>
      <c r="B26" s="3270"/>
      <c r="C26" s="883" t="s">
        <v>574</v>
      </c>
      <c r="D26" s="884"/>
      <c r="E26" s="882">
        <v>1.1000000000000001</v>
      </c>
      <c r="F26" s="885"/>
      <c r="G26" s="886"/>
      <c r="H26" s="878"/>
      <c r="I26" s="878"/>
    </row>
    <row r="27" spans="1:9" s="887" customFormat="1" ht="19.5" customHeight="1">
      <c r="A27" s="3270"/>
      <c r="B27" s="3270"/>
      <c r="C27" s="883" t="s">
        <v>575</v>
      </c>
      <c r="D27" s="884"/>
      <c r="E27" s="882">
        <v>0.9</v>
      </c>
      <c r="F27" s="885" t="s">
        <v>576</v>
      </c>
      <c r="G27" s="886"/>
      <c r="H27" s="878"/>
      <c r="I27" s="878"/>
    </row>
    <row r="28" spans="1:9" s="887" customFormat="1" ht="19.5" customHeight="1">
      <c r="A28" s="3270"/>
      <c r="B28" s="3270"/>
      <c r="C28" s="883" t="s">
        <v>577</v>
      </c>
      <c r="D28" s="884"/>
      <c r="E28" s="882">
        <v>0.9</v>
      </c>
      <c r="F28" s="885" t="s">
        <v>578</v>
      </c>
      <c r="G28" s="886"/>
      <c r="H28" s="878"/>
      <c r="I28" s="878"/>
    </row>
    <row r="29" spans="1:9" s="887" customFormat="1" ht="19.5" customHeight="1">
      <c r="A29" s="3270"/>
      <c r="B29" s="3270"/>
      <c r="C29" s="883" t="s">
        <v>579</v>
      </c>
      <c r="D29" s="884"/>
      <c r="E29" s="882">
        <v>0.9</v>
      </c>
      <c r="F29" s="885" t="s">
        <v>580</v>
      </c>
      <c r="G29" s="886"/>
      <c r="H29" s="878"/>
      <c r="I29" s="878"/>
    </row>
    <row r="30" spans="1:9" s="887" customFormat="1" ht="19.5" customHeight="1">
      <c r="A30" s="3270"/>
      <c r="B30" s="3270"/>
      <c r="C30" s="883" t="s">
        <v>581</v>
      </c>
      <c r="D30" s="884"/>
      <c r="E30" s="882">
        <v>0.9</v>
      </c>
      <c r="F30" s="885" t="s">
        <v>582</v>
      </c>
      <c r="G30" s="886"/>
      <c r="H30" s="878"/>
      <c r="I30" s="878"/>
    </row>
    <row r="31" spans="1:9" s="887" customFormat="1" ht="19.5" customHeight="1">
      <c r="A31" s="3270"/>
      <c r="B31" s="3270"/>
      <c r="C31" s="883" t="s">
        <v>583</v>
      </c>
      <c r="D31" s="884"/>
      <c r="E31" s="882">
        <v>0.8</v>
      </c>
      <c r="F31" s="885" t="s">
        <v>584</v>
      </c>
      <c r="G31" s="886"/>
      <c r="H31" s="878"/>
      <c r="I31" s="878"/>
    </row>
    <row r="32" spans="1:9" s="887" customFormat="1" ht="19.5" customHeight="1">
      <c r="A32" s="3270"/>
      <c r="B32" s="3270"/>
      <c r="C32" s="883" t="s">
        <v>585</v>
      </c>
      <c r="D32" s="884"/>
      <c r="E32" s="882">
        <v>0.8</v>
      </c>
      <c r="F32" s="885" t="s">
        <v>586</v>
      </c>
      <c r="G32" s="886"/>
      <c r="H32" s="878"/>
      <c r="I32" s="878"/>
    </row>
    <row r="33" spans="1:9" s="887" customFormat="1" ht="19.5" customHeight="1">
      <c r="A33" s="3270" t="s">
        <v>184</v>
      </c>
      <c r="B33" s="882" t="s">
        <v>559</v>
      </c>
      <c r="C33" s="883" t="s">
        <v>587</v>
      </c>
      <c r="D33" s="884"/>
      <c r="E33" s="882">
        <v>1</v>
      </c>
      <c r="F33" s="885" t="s">
        <v>588</v>
      </c>
      <c r="G33" s="886"/>
      <c r="H33" s="878"/>
      <c r="I33" s="878"/>
    </row>
    <row r="34" spans="1:9" s="887" customFormat="1" ht="19.5" customHeight="1">
      <c r="A34" s="3270"/>
      <c r="B34" s="882" t="s">
        <v>562</v>
      </c>
      <c r="C34" s="883" t="s">
        <v>589</v>
      </c>
      <c r="D34" s="884"/>
      <c r="E34" s="882">
        <v>1.5</v>
      </c>
      <c r="F34" s="885" t="s">
        <v>590</v>
      </c>
      <c r="G34" s="886"/>
      <c r="H34" s="878"/>
      <c r="I34" s="878"/>
    </row>
    <row r="35" spans="1:9" s="887" customFormat="1" ht="19.5" customHeight="1">
      <c r="A35" s="3270" t="s">
        <v>185</v>
      </c>
      <c r="B35" s="882" t="s">
        <v>559</v>
      </c>
      <c r="C35" s="883" t="s">
        <v>591</v>
      </c>
      <c r="D35" s="884"/>
      <c r="E35" s="882">
        <v>1</v>
      </c>
      <c r="F35" s="885" t="s">
        <v>592</v>
      </c>
      <c r="G35" s="886"/>
      <c r="H35" s="878"/>
      <c r="I35" s="878"/>
    </row>
    <row r="36" spans="1:9" s="887" customFormat="1" ht="19.5" customHeight="1">
      <c r="A36" s="3270"/>
      <c r="B36" s="3270" t="s">
        <v>562</v>
      </c>
      <c r="C36" s="883" t="s">
        <v>593</v>
      </c>
      <c r="D36" s="884"/>
      <c r="E36" s="882">
        <v>1</v>
      </c>
      <c r="F36" s="885" t="s">
        <v>594</v>
      </c>
      <c r="G36" s="886"/>
      <c r="H36" s="878"/>
      <c r="I36" s="878"/>
    </row>
    <row r="37" spans="1:9" s="887" customFormat="1" ht="19.5" customHeight="1">
      <c r="A37" s="3270"/>
      <c r="B37" s="3270"/>
      <c r="C37" s="883" t="s">
        <v>595</v>
      </c>
      <c r="D37" s="884"/>
      <c r="E37" s="882">
        <v>1.5</v>
      </c>
      <c r="F37" s="885" t="s">
        <v>596</v>
      </c>
      <c r="G37" s="886"/>
      <c r="H37" s="878"/>
      <c r="I37" s="878"/>
    </row>
    <row r="38" spans="1:9" s="887" customFormat="1" ht="19.5" customHeight="1">
      <c r="A38" s="3270"/>
      <c r="B38" s="3270"/>
      <c r="C38" s="883" t="s">
        <v>597</v>
      </c>
      <c r="D38" s="884"/>
      <c r="E38" s="882">
        <v>1</v>
      </c>
      <c r="F38" s="885" t="s">
        <v>598</v>
      </c>
      <c r="G38" s="886"/>
      <c r="H38" s="878"/>
      <c r="I38" s="878"/>
    </row>
    <row r="39" spans="1:9" s="887" customFormat="1" ht="19.5" customHeight="1">
      <c r="A39" s="3270"/>
      <c r="B39" s="3270"/>
      <c r="C39" s="883" t="s">
        <v>599</v>
      </c>
      <c r="D39" s="884"/>
      <c r="E39" s="882">
        <v>1</v>
      </c>
      <c r="F39" s="885" t="s">
        <v>600</v>
      </c>
      <c r="G39" s="886"/>
      <c r="H39" s="878"/>
      <c r="I39" s="878"/>
    </row>
    <row r="40" spans="1:9" s="887" customFormat="1" ht="19.5" customHeight="1">
      <c r="A40" s="888" t="s">
        <v>601</v>
      </c>
      <c r="B40" s="888"/>
      <c r="C40" s="888"/>
      <c r="D40" s="888"/>
      <c r="E40" s="888"/>
      <c r="F40" s="889"/>
      <c r="G40" s="889"/>
      <c r="H40" s="878"/>
      <c r="I40" s="878"/>
    </row>
    <row r="42" spans="1:9" ht="19.5" customHeight="1">
      <c r="A42" s="890"/>
      <c r="B42" s="818" t="s">
        <v>602</v>
      </c>
      <c r="C42" s="818" t="s">
        <v>602</v>
      </c>
      <c r="D42" s="818" t="s">
        <v>602</v>
      </c>
      <c r="E42" s="823" t="s">
        <v>602</v>
      </c>
      <c r="F42" s="823" t="s">
        <v>602</v>
      </c>
      <c r="G42" s="823" t="s">
        <v>603</v>
      </c>
      <c r="H42" s="823" t="s">
        <v>602</v>
      </c>
    </row>
    <row r="43" spans="1:9" ht="19.5" customHeight="1">
      <c r="A43" s="891"/>
      <c r="B43" s="823" t="s">
        <v>182</v>
      </c>
      <c r="C43" s="823" t="s">
        <v>182</v>
      </c>
      <c r="D43" s="823" t="s">
        <v>182</v>
      </c>
      <c r="E43" s="823" t="s">
        <v>182</v>
      </c>
      <c r="F43" s="818" t="s">
        <v>183</v>
      </c>
      <c r="G43" s="818" t="s">
        <v>185</v>
      </c>
      <c r="H43" s="818" t="s">
        <v>604</v>
      </c>
    </row>
    <row r="44" spans="1:9" ht="19.5" customHeight="1">
      <c r="A44" s="892"/>
      <c r="B44" s="818">
        <v>1</v>
      </c>
      <c r="C44" s="818">
        <v>2</v>
      </c>
      <c r="D44" s="818">
        <v>3</v>
      </c>
      <c r="E44" s="823">
        <v>4</v>
      </c>
      <c r="F44" s="880" t="s">
        <v>605</v>
      </c>
      <c r="G44" s="880" t="s">
        <v>605</v>
      </c>
      <c r="H44" s="880" t="s">
        <v>605</v>
      </c>
    </row>
    <row r="45" spans="1:9" ht="19.5" customHeight="1">
      <c r="A45" s="893" t="s">
        <v>156</v>
      </c>
      <c r="B45" s="818">
        <v>0.8</v>
      </c>
      <c r="C45" s="818">
        <v>0.5</v>
      </c>
      <c r="D45" s="818">
        <v>0.36</v>
      </c>
      <c r="E45" s="818">
        <v>0.3</v>
      </c>
      <c r="F45" s="880">
        <v>0.3</v>
      </c>
      <c r="G45" s="818">
        <v>0.3</v>
      </c>
      <c r="H45" s="818">
        <v>0.25</v>
      </c>
    </row>
    <row r="46" spans="1:9" ht="19.5" customHeight="1">
      <c r="A46" s="893" t="s">
        <v>157</v>
      </c>
      <c r="B46" s="818">
        <v>0.8</v>
      </c>
      <c r="C46" s="818">
        <v>0.5</v>
      </c>
      <c r="D46" s="818">
        <v>0.36</v>
      </c>
      <c r="E46" s="818">
        <v>0.3</v>
      </c>
      <c r="F46" s="818">
        <v>0.3</v>
      </c>
      <c r="G46" s="818">
        <v>0.3</v>
      </c>
      <c r="H46" s="818">
        <v>0.25</v>
      </c>
    </row>
    <row r="47" spans="1:9" ht="19.5" customHeight="1">
      <c r="A47" s="893" t="s">
        <v>158</v>
      </c>
      <c r="B47" s="818">
        <v>0.7</v>
      </c>
      <c r="C47" s="818">
        <v>0.4</v>
      </c>
      <c r="D47" s="818">
        <v>0.28000000000000003</v>
      </c>
      <c r="E47" s="818">
        <v>0.25</v>
      </c>
      <c r="F47" s="818">
        <v>0.25</v>
      </c>
      <c r="G47" s="818">
        <v>0.25</v>
      </c>
      <c r="H47" s="818">
        <v>0.2</v>
      </c>
    </row>
    <row r="48" spans="1:9" ht="19.5" customHeight="1">
      <c r="A48" s="893" t="s">
        <v>159</v>
      </c>
      <c r="B48" s="818">
        <v>0.7</v>
      </c>
      <c r="C48" s="818">
        <v>0.4</v>
      </c>
      <c r="D48" s="818">
        <v>0.28000000000000003</v>
      </c>
      <c r="E48" s="818">
        <v>0.25</v>
      </c>
      <c r="F48" s="818">
        <v>0.25</v>
      </c>
      <c r="G48" s="818">
        <v>0.25</v>
      </c>
      <c r="H48" s="818">
        <v>0.2</v>
      </c>
    </row>
    <row r="49" spans="1:8" s="878" customFormat="1" ht="19.5" customHeight="1">
      <c r="A49" s="893" t="s">
        <v>160</v>
      </c>
      <c r="B49" s="818">
        <v>0.7</v>
      </c>
      <c r="C49" s="818">
        <v>0.4</v>
      </c>
      <c r="D49" s="818">
        <v>0.28000000000000003</v>
      </c>
      <c r="E49" s="818">
        <v>0.25</v>
      </c>
      <c r="F49" s="818">
        <v>0.25</v>
      </c>
      <c r="G49" s="818">
        <v>0.25</v>
      </c>
      <c r="H49" s="818">
        <v>0.2</v>
      </c>
    </row>
    <row r="50" spans="1:8" s="878" customFormat="1" ht="19.5" customHeight="1">
      <c r="A50" s="893" t="s">
        <v>161</v>
      </c>
      <c r="B50" s="818">
        <v>0.7</v>
      </c>
      <c r="C50" s="818">
        <v>0.4</v>
      </c>
      <c r="D50" s="818">
        <v>0.28000000000000003</v>
      </c>
      <c r="E50" s="818">
        <v>0.25</v>
      </c>
      <c r="F50" s="818">
        <v>0.25</v>
      </c>
      <c r="G50" s="818">
        <v>0.25</v>
      </c>
      <c r="H50" s="818">
        <v>0.2</v>
      </c>
    </row>
    <row r="51" spans="1:8" s="878" customFormat="1" ht="19.5" customHeight="1">
      <c r="A51" s="893" t="s">
        <v>162</v>
      </c>
      <c r="B51" s="818">
        <v>0.7</v>
      </c>
      <c r="C51" s="818">
        <v>0.4</v>
      </c>
      <c r="D51" s="818">
        <v>0.28000000000000003</v>
      </c>
      <c r="E51" s="818">
        <v>0.25</v>
      </c>
      <c r="F51" s="818">
        <v>0.25</v>
      </c>
      <c r="G51" s="818">
        <v>0.25</v>
      </c>
      <c r="H51" s="818">
        <v>0.2</v>
      </c>
    </row>
    <row r="52" spans="1:8" s="878" customFormat="1" ht="19.5" customHeight="1">
      <c r="A52" s="893" t="s">
        <v>163</v>
      </c>
      <c r="B52" s="818">
        <v>0.6</v>
      </c>
      <c r="C52" s="818">
        <v>0.3</v>
      </c>
      <c r="D52" s="818">
        <v>0.2</v>
      </c>
      <c r="E52" s="818">
        <v>0.2</v>
      </c>
      <c r="F52" s="818">
        <v>0.2</v>
      </c>
      <c r="G52" s="818">
        <v>0.2</v>
      </c>
      <c r="H52" s="818">
        <v>0.15</v>
      </c>
    </row>
    <row r="53" spans="1:8" s="878" customFormat="1" ht="19.5" customHeight="1">
      <c r="A53" s="893" t="s">
        <v>164</v>
      </c>
      <c r="B53" s="818">
        <v>0.6</v>
      </c>
      <c r="C53" s="818">
        <v>0.3</v>
      </c>
      <c r="D53" s="818">
        <v>0.2</v>
      </c>
      <c r="E53" s="818">
        <v>0.2</v>
      </c>
      <c r="F53" s="818">
        <v>0.2</v>
      </c>
      <c r="G53" s="818">
        <v>0.2</v>
      </c>
      <c r="H53" s="818">
        <v>0.15</v>
      </c>
    </row>
    <row r="54" spans="1:8" s="878" customFormat="1" ht="19.5" customHeight="1">
      <c r="A54" s="893" t="s">
        <v>165</v>
      </c>
      <c r="B54" s="818">
        <v>0.6</v>
      </c>
      <c r="C54" s="818">
        <v>0.3</v>
      </c>
      <c r="D54" s="818">
        <v>0.2</v>
      </c>
      <c r="E54" s="818">
        <v>0.2</v>
      </c>
      <c r="F54" s="818">
        <v>0.2</v>
      </c>
      <c r="G54" s="818">
        <v>0.2</v>
      </c>
      <c r="H54" s="818">
        <v>0.15</v>
      </c>
    </row>
    <row r="55" spans="1:8" s="878" customFormat="1" ht="19.5" customHeight="1">
      <c r="A55" s="893" t="s">
        <v>166</v>
      </c>
      <c r="B55" s="818">
        <v>0.6</v>
      </c>
      <c r="C55" s="818">
        <v>0.3</v>
      </c>
      <c r="D55" s="818">
        <v>0.2</v>
      </c>
      <c r="E55" s="818">
        <v>0.2</v>
      </c>
      <c r="F55" s="818">
        <v>0.2</v>
      </c>
      <c r="G55" s="818">
        <v>0.2</v>
      </c>
      <c r="H55" s="818">
        <v>0.15</v>
      </c>
    </row>
    <row r="56" spans="1:8" s="878" customFormat="1" ht="19.5" customHeight="1">
      <c r="A56" s="893" t="s">
        <v>167</v>
      </c>
      <c r="B56" s="818">
        <v>0.6</v>
      </c>
      <c r="C56" s="818">
        <v>0.3</v>
      </c>
      <c r="D56" s="818">
        <v>0.2</v>
      </c>
      <c r="E56" s="818">
        <v>0.2</v>
      </c>
      <c r="F56" s="818">
        <v>0.2</v>
      </c>
      <c r="G56" s="818">
        <v>0.2</v>
      </c>
      <c r="H56" s="818">
        <v>0.15</v>
      </c>
    </row>
    <row r="58" spans="1:8" s="878" customFormat="1" ht="19.5" customHeight="1">
      <c r="A58" s="894"/>
      <c r="B58" s="876"/>
      <c r="C58" s="876"/>
      <c r="D58" s="876" t="s">
        <v>606</v>
      </c>
      <c r="E58" s="876"/>
      <c r="F58" s="876"/>
    </row>
    <row r="59" spans="1:8" s="878" customFormat="1" ht="19.5" customHeight="1">
      <c r="A59" s="882" t="s">
        <v>607</v>
      </c>
      <c r="B59" s="882" t="s">
        <v>608</v>
      </c>
      <c r="C59" s="882" t="s">
        <v>609</v>
      </c>
      <c r="D59" s="882" t="s">
        <v>610</v>
      </c>
      <c r="E59" s="882" t="s">
        <v>611</v>
      </c>
      <c r="F59" s="882" t="s">
        <v>612</v>
      </c>
    </row>
    <row r="60" spans="1:8" ht="13.5">
      <c r="A60" s="943"/>
      <c r="B60" s="943"/>
      <c r="C60" s="943" t="s">
        <v>744</v>
      </c>
      <c r="D60" s="943"/>
      <c r="E60" s="895" t="s">
        <v>1</v>
      </c>
      <c r="F60" s="943" t="s">
        <v>1</v>
      </c>
    </row>
    <row r="61" spans="1:8" s="878" customFormat="1" ht="24">
      <c r="A61" s="882">
        <v>1</v>
      </c>
      <c r="B61" s="3270" t="s">
        <v>613</v>
      </c>
      <c r="C61" s="818" t="s">
        <v>614</v>
      </c>
      <c r="D61" s="818" t="s">
        <v>615</v>
      </c>
      <c r="E61" s="895">
        <v>0.5</v>
      </c>
      <c r="F61" s="882">
        <v>80</v>
      </c>
    </row>
    <row r="62" spans="1:8" s="878" customFormat="1" ht="24">
      <c r="A62" s="882">
        <v>2</v>
      </c>
      <c r="B62" s="3270"/>
      <c r="C62" s="818" t="s">
        <v>616</v>
      </c>
      <c r="D62" s="818" t="s">
        <v>617</v>
      </c>
      <c r="E62" s="895">
        <v>0.5</v>
      </c>
      <c r="F62" s="882">
        <v>80</v>
      </c>
    </row>
    <row r="63" spans="1:8" s="878" customFormat="1" ht="36">
      <c r="A63" s="882">
        <v>3</v>
      </c>
      <c r="B63" s="3270"/>
      <c r="C63" s="818" t="s">
        <v>618</v>
      </c>
      <c r="D63" s="818" t="s">
        <v>619</v>
      </c>
      <c r="E63" s="895">
        <v>0.5</v>
      </c>
      <c r="F63" s="882">
        <v>80</v>
      </c>
    </row>
    <row r="64" spans="1:8" s="878" customFormat="1" ht="36">
      <c r="A64" s="882">
        <v>4</v>
      </c>
      <c r="B64" s="3270"/>
      <c r="C64" s="818" t="s">
        <v>620</v>
      </c>
      <c r="D64" s="818" t="s">
        <v>621</v>
      </c>
      <c r="E64" s="895">
        <v>0.4</v>
      </c>
      <c r="F64" s="882">
        <v>60</v>
      </c>
    </row>
    <row r="65" spans="1:6" s="878" customFormat="1" ht="36">
      <c r="A65" s="882">
        <v>5</v>
      </c>
      <c r="B65" s="3270"/>
      <c r="C65" s="818" t="s">
        <v>622</v>
      </c>
      <c r="D65" s="818" t="s">
        <v>623</v>
      </c>
      <c r="E65" s="895">
        <v>0.2</v>
      </c>
      <c r="F65" s="882">
        <v>30</v>
      </c>
    </row>
    <row r="66" spans="1:6" s="878" customFormat="1" ht="36">
      <c r="A66" s="882">
        <v>6</v>
      </c>
      <c r="B66" s="3270"/>
      <c r="C66" s="818" t="s">
        <v>624</v>
      </c>
      <c r="D66" s="818" t="s">
        <v>625</v>
      </c>
      <c r="E66" s="895">
        <v>0.3</v>
      </c>
      <c r="F66" s="882">
        <v>50</v>
      </c>
    </row>
    <row r="67" spans="1:6" s="878" customFormat="1" ht="36">
      <c r="A67" s="882">
        <v>7</v>
      </c>
      <c r="B67" s="3270"/>
      <c r="C67" s="818" t="s">
        <v>626</v>
      </c>
      <c r="D67" s="818" t="s">
        <v>627</v>
      </c>
      <c r="E67" s="895">
        <v>0.2</v>
      </c>
      <c r="F67" s="882">
        <v>30</v>
      </c>
    </row>
    <row r="68" spans="1:6" s="878" customFormat="1" ht="36">
      <c r="A68" s="882">
        <v>8</v>
      </c>
      <c r="B68" s="3270"/>
      <c r="C68" s="818" t="s">
        <v>628</v>
      </c>
      <c r="D68" s="818" t="s">
        <v>629</v>
      </c>
      <c r="E68" s="895">
        <v>0.2</v>
      </c>
      <c r="F68" s="882">
        <v>30</v>
      </c>
    </row>
    <row r="69" spans="1:6" s="878" customFormat="1" ht="36">
      <c r="A69" s="882">
        <v>9</v>
      </c>
      <c r="B69" s="3270"/>
      <c r="C69" s="818" t="s">
        <v>630</v>
      </c>
      <c r="D69" s="818" t="s">
        <v>631</v>
      </c>
      <c r="E69" s="895">
        <v>0.2</v>
      </c>
      <c r="F69" s="882">
        <v>30</v>
      </c>
    </row>
    <row r="70" spans="1:6" s="878" customFormat="1" ht="48">
      <c r="A70" s="882">
        <v>10</v>
      </c>
      <c r="B70" s="3270"/>
      <c r="C70" s="818" t="s">
        <v>632</v>
      </c>
      <c r="D70" s="818" t="s">
        <v>633</v>
      </c>
      <c r="E70" s="895">
        <v>0.2</v>
      </c>
      <c r="F70" s="882">
        <v>30</v>
      </c>
    </row>
    <row r="71" spans="1:6" s="878" customFormat="1" ht="48">
      <c r="A71" s="882">
        <v>11</v>
      </c>
      <c r="B71" s="3270"/>
      <c r="C71" s="818" t="s">
        <v>634</v>
      </c>
      <c r="D71" s="818" t="s">
        <v>635</v>
      </c>
      <c r="E71" s="895">
        <v>0.2</v>
      </c>
      <c r="F71" s="882">
        <v>30</v>
      </c>
    </row>
    <row r="72" spans="1:6" s="878" customFormat="1" ht="36">
      <c r="A72" s="882">
        <v>12</v>
      </c>
      <c r="B72" s="3270"/>
      <c r="C72" s="818" t="s">
        <v>636</v>
      </c>
      <c r="D72" s="818" t="s">
        <v>637</v>
      </c>
      <c r="E72" s="895">
        <v>0.5</v>
      </c>
      <c r="F72" s="882">
        <v>80</v>
      </c>
    </row>
    <row r="73" spans="1:6" s="878" customFormat="1" ht="24">
      <c r="A73" s="882">
        <v>13</v>
      </c>
      <c r="B73" s="3270"/>
      <c r="C73" s="818" t="s">
        <v>638</v>
      </c>
      <c r="D73" s="818" t="s">
        <v>639</v>
      </c>
      <c r="E73" s="895">
        <v>0.4</v>
      </c>
      <c r="F73" s="882">
        <v>60</v>
      </c>
    </row>
    <row r="74" spans="1:6" s="878" customFormat="1" ht="24">
      <c r="A74" s="882">
        <v>14</v>
      </c>
      <c r="B74" s="3270"/>
      <c r="C74" s="818" t="s">
        <v>640</v>
      </c>
      <c r="D74" s="818" t="s">
        <v>641</v>
      </c>
      <c r="E74" s="895">
        <v>0.2</v>
      </c>
      <c r="F74" s="882">
        <v>30</v>
      </c>
    </row>
    <row r="75" spans="1:6" s="878" customFormat="1" ht="24">
      <c r="A75" s="882">
        <v>15</v>
      </c>
      <c r="B75" s="3270"/>
      <c r="C75" s="818" t="s">
        <v>642</v>
      </c>
      <c r="D75" s="818" t="s">
        <v>643</v>
      </c>
      <c r="E75" s="895">
        <v>0.2</v>
      </c>
      <c r="F75" s="882">
        <v>30</v>
      </c>
    </row>
    <row r="76" spans="1:6" s="878" customFormat="1" ht="24">
      <c r="A76" s="882">
        <v>16</v>
      </c>
      <c r="B76" s="3270" t="s">
        <v>644</v>
      </c>
      <c r="C76" s="818" t="s">
        <v>645</v>
      </c>
      <c r="D76" s="818" t="s">
        <v>646</v>
      </c>
      <c r="E76" s="895">
        <v>0.5</v>
      </c>
      <c r="F76" s="882">
        <v>80</v>
      </c>
    </row>
    <row r="77" spans="1:6" s="878" customFormat="1" ht="24">
      <c r="A77" s="882">
        <v>17</v>
      </c>
      <c r="B77" s="3270"/>
      <c r="C77" s="818" t="s">
        <v>647</v>
      </c>
      <c r="D77" s="818" t="s">
        <v>648</v>
      </c>
      <c r="E77" s="895">
        <v>0.5</v>
      </c>
      <c r="F77" s="882">
        <v>80</v>
      </c>
    </row>
    <row r="78" spans="1:6" s="878" customFormat="1" ht="24">
      <c r="A78" s="882">
        <v>18</v>
      </c>
      <c r="B78" s="3270"/>
      <c r="C78" s="818" t="s">
        <v>649</v>
      </c>
      <c r="D78" s="818" t="s">
        <v>650</v>
      </c>
      <c r="E78" s="895">
        <v>0.2</v>
      </c>
      <c r="F78" s="882">
        <v>30</v>
      </c>
    </row>
    <row r="79" spans="1:6" s="878" customFormat="1" ht="24">
      <c r="A79" s="882">
        <v>19</v>
      </c>
      <c r="B79" s="3270"/>
      <c r="C79" s="818" t="s">
        <v>651</v>
      </c>
      <c r="D79" s="818" t="s">
        <v>652</v>
      </c>
      <c r="E79" s="895">
        <v>0.5</v>
      </c>
      <c r="F79" s="882">
        <v>80</v>
      </c>
    </row>
    <row r="80" spans="1:6" s="878" customFormat="1" ht="36">
      <c r="A80" s="882">
        <v>20</v>
      </c>
      <c r="B80" s="3270"/>
      <c r="C80" s="818" t="s">
        <v>653</v>
      </c>
      <c r="D80" s="818" t="s">
        <v>654</v>
      </c>
      <c r="E80" s="895">
        <v>0.2</v>
      </c>
      <c r="F80" s="882">
        <v>30</v>
      </c>
    </row>
    <row r="81" spans="1:6" s="878" customFormat="1" ht="36">
      <c r="A81" s="882">
        <v>21</v>
      </c>
      <c r="B81" s="3270"/>
      <c r="C81" s="818" t="s">
        <v>655</v>
      </c>
      <c r="D81" s="818" t="s">
        <v>656</v>
      </c>
      <c r="E81" s="895">
        <v>0.2</v>
      </c>
      <c r="F81" s="882">
        <v>30</v>
      </c>
    </row>
    <row r="82" spans="1:6" s="878" customFormat="1" ht="48">
      <c r="A82" s="882">
        <v>22</v>
      </c>
      <c r="B82" s="3270"/>
      <c r="C82" s="818" t="s">
        <v>657</v>
      </c>
      <c r="D82" s="818" t="s">
        <v>658</v>
      </c>
      <c r="E82" s="895">
        <v>0.2</v>
      </c>
      <c r="F82" s="882">
        <v>30</v>
      </c>
    </row>
    <row r="83" spans="1:6" s="878" customFormat="1" ht="48">
      <c r="A83" s="882">
        <v>23</v>
      </c>
      <c r="B83" s="3270"/>
      <c r="C83" s="818" t="s">
        <v>659</v>
      </c>
      <c r="D83" s="818" t="s">
        <v>660</v>
      </c>
      <c r="E83" s="895">
        <v>0.2</v>
      </c>
      <c r="F83" s="882">
        <v>30</v>
      </c>
    </row>
    <row r="84" spans="1:6" s="878" customFormat="1" ht="36">
      <c r="A84" s="882">
        <v>24</v>
      </c>
      <c r="B84" s="3270"/>
      <c r="C84" s="818" t="s">
        <v>661</v>
      </c>
      <c r="D84" s="818" t="s">
        <v>662</v>
      </c>
      <c r="E84" s="895">
        <v>0.2</v>
      </c>
      <c r="F84" s="882">
        <v>30</v>
      </c>
    </row>
    <row r="85" spans="1:6" s="878" customFormat="1" ht="36">
      <c r="A85" s="882">
        <v>25</v>
      </c>
      <c r="B85" s="3270"/>
      <c r="C85" s="818" t="s">
        <v>663</v>
      </c>
      <c r="D85" s="818" t="s">
        <v>664</v>
      </c>
      <c r="E85" s="895">
        <v>0.5</v>
      </c>
      <c r="F85" s="882">
        <v>80</v>
      </c>
    </row>
    <row r="86" spans="1:6" s="878" customFormat="1" ht="36">
      <c r="A86" s="882">
        <v>26</v>
      </c>
      <c r="B86" s="3270"/>
      <c r="C86" s="818" t="s">
        <v>665</v>
      </c>
      <c r="D86" s="818" t="s">
        <v>666</v>
      </c>
      <c r="E86" s="895">
        <v>0.2</v>
      </c>
      <c r="F86" s="882">
        <v>30</v>
      </c>
    </row>
    <row r="87" spans="1:6" s="878" customFormat="1" ht="36">
      <c r="A87" s="882">
        <v>27</v>
      </c>
      <c r="B87" s="3270"/>
      <c r="C87" s="818" t="s">
        <v>667</v>
      </c>
      <c r="D87" s="818" t="s">
        <v>668</v>
      </c>
      <c r="E87" s="895">
        <v>0.2</v>
      </c>
      <c r="F87" s="882">
        <v>30</v>
      </c>
    </row>
    <row r="88" spans="1:6" s="878" customFormat="1" ht="36">
      <c r="A88" s="882">
        <v>28</v>
      </c>
      <c r="B88" s="3270"/>
      <c r="C88" s="818" t="s">
        <v>669</v>
      </c>
      <c r="D88" s="818" t="s">
        <v>670</v>
      </c>
      <c r="E88" s="895">
        <v>0.2</v>
      </c>
      <c r="F88" s="882">
        <v>30</v>
      </c>
    </row>
    <row r="89" spans="1:6" s="878" customFormat="1" ht="24">
      <c r="A89" s="882">
        <v>29</v>
      </c>
      <c r="B89" s="3270"/>
      <c r="C89" s="818" t="s">
        <v>671</v>
      </c>
      <c r="D89" s="818" t="s">
        <v>672</v>
      </c>
      <c r="E89" s="895">
        <v>0.2</v>
      </c>
      <c r="F89" s="882">
        <v>30</v>
      </c>
    </row>
    <row r="90" spans="1:6" s="878" customFormat="1" ht="24">
      <c r="A90" s="882">
        <v>30</v>
      </c>
      <c r="B90" s="3270"/>
      <c r="C90" s="818" t="s">
        <v>673</v>
      </c>
      <c r="D90" s="818" t="s">
        <v>674</v>
      </c>
      <c r="E90" s="895">
        <v>0.2</v>
      </c>
      <c r="F90" s="882">
        <v>30</v>
      </c>
    </row>
    <row r="91" spans="1:6" s="878" customFormat="1" ht="36">
      <c r="A91" s="882">
        <v>31</v>
      </c>
      <c r="B91" s="3270"/>
      <c r="C91" s="818" t="s">
        <v>675</v>
      </c>
      <c r="D91" s="818" t="s">
        <v>676</v>
      </c>
      <c r="E91" s="895">
        <v>0.2</v>
      </c>
      <c r="F91" s="882">
        <v>30</v>
      </c>
    </row>
    <row r="92" spans="1:6" s="878" customFormat="1" ht="24">
      <c r="A92" s="882">
        <v>32</v>
      </c>
      <c r="B92" s="3270" t="s">
        <v>677</v>
      </c>
      <c r="C92" s="882" t="s">
        <v>678</v>
      </c>
      <c r="D92" s="818" t="s">
        <v>679</v>
      </c>
      <c r="E92" s="895">
        <v>0.2</v>
      </c>
      <c r="F92" s="882">
        <v>30</v>
      </c>
    </row>
    <row r="93" spans="1:6" s="878" customFormat="1" ht="36">
      <c r="A93" s="882">
        <v>33</v>
      </c>
      <c r="B93" s="3270"/>
      <c r="C93" s="882" t="s">
        <v>680</v>
      </c>
      <c r="D93" s="818" t="s">
        <v>681</v>
      </c>
      <c r="E93" s="895">
        <v>0.2</v>
      </c>
      <c r="F93" s="882">
        <v>30</v>
      </c>
    </row>
    <row r="94" spans="1:6" s="878" customFormat="1" ht="48">
      <c r="A94" s="882">
        <v>34</v>
      </c>
      <c r="B94" s="3270"/>
      <c r="C94" s="882" t="s">
        <v>682</v>
      </c>
      <c r="D94" s="818" t="s">
        <v>683</v>
      </c>
      <c r="E94" s="895">
        <v>0.2</v>
      </c>
      <c r="F94" s="882">
        <v>30</v>
      </c>
    </row>
    <row r="95" spans="1:6" s="878" customFormat="1" ht="36">
      <c r="A95" s="882">
        <v>35</v>
      </c>
      <c r="B95" s="3270"/>
      <c r="C95" s="882" t="s">
        <v>684</v>
      </c>
      <c r="D95" s="818" t="s">
        <v>685</v>
      </c>
      <c r="E95" s="895">
        <v>0.2</v>
      </c>
      <c r="F95" s="882">
        <v>30</v>
      </c>
    </row>
    <row r="96" spans="1:6" s="878" customFormat="1" ht="48">
      <c r="A96" s="882">
        <v>36</v>
      </c>
      <c r="B96" s="3270"/>
      <c r="C96" s="818" t="s">
        <v>686</v>
      </c>
      <c r="D96" s="818" t="s">
        <v>687</v>
      </c>
      <c r="E96" s="895">
        <v>0.2</v>
      </c>
      <c r="F96" s="882">
        <v>30</v>
      </c>
    </row>
    <row r="97" spans="1:6" s="878" customFormat="1" ht="36">
      <c r="A97" s="882">
        <v>37</v>
      </c>
      <c r="B97" s="3270"/>
      <c r="C97" s="882" t="s">
        <v>688</v>
      </c>
      <c r="D97" s="818" t="s">
        <v>689</v>
      </c>
      <c r="E97" s="895">
        <v>0.2</v>
      </c>
      <c r="F97" s="882">
        <v>30</v>
      </c>
    </row>
    <row r="98" spans="1:6" s="878" customFormat="1" ht="36">
      <c r="A98" s="882">
        <v>38</v>
      </c>
      <c r="B98" s="3270"/>
      <c r="C98" s="882" t="s">
        <v>690</v>
      </c>
      <c r="D98" s="818" t="s">
        <v>691</v>
      </c>
      <c r="E98" s="895">
        <v>0.2</v>
      </c>
      <c r="F98" s="882">
        <v>30</v>
      </c>
    </row>
    <row r="99" spans="1:6" s="878" customFormat="1" ht="36">
      <c r="A99" s="882">
        <v>39</v>
      </c>
      <c r="B99" s="3270" t="s">
        <v>692</v>
      </c>
      <c r="C99" s="882" t="s">
        <v>693</v>
      </c>
      <c r="D99" s="818" t="s">
        <v>694</v>
      </c>
      <c r="E99" s="895">
        <v>0.3</v>
      </c>
      <c r="F99" s="882">
        <v>50</v>
      </c>
    </row>
    <row r="100" spans="1:6" s="878" customFormat="1" ht="24">
      <c r="A100" s="882">
        <v>40</v>
      </c>
      <c r="B100" s="3270"/>
      <c r="C100" s="882" t="s">
        <v>695</v>
      </c>
      <c r="D100" s="818" t="s">
        <v>696</v>
      </c>
      <c r="E100" s="895">
        <v>0.2</v>
      </c>
      <c r="F100" s="882">
        <v>30</v>
      </c>
    </row>
    <row r="101" spans="1:6" s="878" customFormat="1" ht="36">
      <c r="A101" s="882">
        <v>41</v>
      </c>
      <c r="B101" s="3270"/>
      <c r="C101" s="882" t="s">
        <v>697</v>
      </c>
      <c r="D101" s="818" t="s">
        <v>694</v>
      </c>
      <c r="E101" s="895">
        <v>0.2</v>
      </c>
      <c r="F101" s="882">
        <v>30</v>
      </c>
    </row>
    <row r="102" spans="1:6" s="878" customFormat="1" ht="48">
      <c r="A102" s="882">
        <v>42</v>
      </c>
      <c r="B102" s="882" t="s">
        <v>698</v>
      </c>
      <c r="C102" s="818" t="s">
        <v>699</v>
      </c>
      <c r="D102" s="818" t="s">
        <v>700</v>
      </c>
      <c r="E102" s="895">
        <v>0.2</v>
      </c>
      <c r="F102" s="882">
        <v>30</v>
      </c>
    </row>
    <row r="103" spans="1:6" s="878" customFormat="1" ht="24">
      <c r="A103" s="882">
        <v>43</v>
      </c>
      <c r="B103" s="882" t="s">
        <v>701</v>
      </c>
      <c r="C103" s="882" t="s">
        <v>702</v>
      </c>
      <c r="D103" s="818" t="s">
        <v>703</v>
      </c>
      <c r="E103" s="895">
        <v>0.2</v>
      </c>
      <c r="F103" s="882">
        <v>30</v>
      </c>
    </row>
    <row r="104" spans="1:6" s="878" customFormat="1" ht="36">
      <c r="A104" s="882">
        <v>44</v>
      </c>
      <c r="B104" s="882" t="s">
        <v>704</v>
      </c>
      <c r="C104" s="882" t="s">
        <v>705</v>
      </c>
      <c r="D104" s="818" t="s">
        <v>706</v>
      </c>
      <c r="E104" s="895">
        <v>0.2</v>
      </c>
      <c r="F104" s="882">
        <v>30</v>
      </c>
    </row>
    <row r="105" spans="1:6" s="878" customFormat="1" ht="36">
      <c r="A105" s="882">
        <v>45</v>
      </c>
      <c r="B105" s="3270" t="s">
        <v>707</v>
      </c>
      <c r="C105" s="882" t="s">
        <v>708</v>
      </c>
      <c r="D105" s="818" t="s">
        <v>709</v>
      </c>
      <c r="E105" s="895">
        <v>0.2</v>
      </c>
      <c r="F105" s="882">
        <v>30</v>
      </c>
    </row>
    <row r="106" spans="1:6" s="878" customFormat="1" ht="36">
      <c r="A106" s="882">
        <v>46</v>
      </c>
      <c r="B106" s="3270"/>
      <c r="C106" s="882" t="s">
        <v>710</v>
      </c>
      <c r="D106" s="818" t="s">
        <v>711</v>
      </c>
      <c r="E106" s="895">
        <v>0.2</v>
      </c>
      <c r="F106" s="882">
        <v>30</v>
      </c>
    </row>
    <row r="107" spans="1:6" s="878" customFormat="1" ht="36">
      <c r="A107" s="882">
        <v>47</v>
      </c>
      <c r="B107" s="3270" t="s">
        <v>712</v>
      </c>
      <c r="C107" s="882" t="s">
        <v>713</v>
      </c>
      <c r="D107" s="818" t="s">
        <v>714</v>
      </c>
      <c r="E107" s="895">
        <v>0.3</v>
      </c>
      <c r="F107" s="882">
        <v>50</v>
      </c>
    </row>
    <row r="108" spans="1:6" s="878" customFormat="1" ht="36">
      <c r="A108" s="882">
        <v>48</v>
      </c>
      <c r="B108" s="3270"/>
      <c r="C108" s="882" t="s">
        <v>715</v>
      </c>
      <c r="D108" s="818" t="s">
        <v>716</v>
      </c>
      <c r="E108" s="895">
        <v>0.2</v>
      </c>
      <c r="F108" s="882">
        <v>30</v>
      </c>
    </row>
    <row r="109" spans="1:6" s="878" customFormat="1" ht="36">
      <c r="A109" s="882">
        <v>49</v>
      </c>
      <c r="B109" s="882" t="s">
        <v>717</v>
      </c>
      <c r="C109" s="882" t="s">
        <v>718</v>
      </c>
      <c r="D109" s="818" t="s">
        <v>719</v>
      </c>
      <c r="E109" s="895">
        <v>0.2</v>
      </c>
      <c r="F109" s="882">
        <v>30</v>
      </c>
    </row>
    <row r="110" spans="1:6" s="878" customFormat="1" ht="36">
      <c r="A110" s="882">
        <v>50</v>
      </c>
      <c r="B110" s="882" t="s">
        <v>720</v>
      </c>
      <c r="C110" s="882" t="s">
        <v>721</v>
      </c>
      <c r="D110" s="818" t="s">
        <v>722</v>
      </c>
      <c r="E110" s="895">
        <v>0.2</v>
      </c>
      <c r="F110" s="882">
        <v>30</v>
      </c>
    </row>
    <row r="111" spans="1:6" s="878" customFormat="1" ht="36">
      <c r="A111" s="882">
        <v>51</v>
      </c>
      <c r="B111" s="3270" t="s">
        <v>723</v>
      </c>
      <c r="C111" s="882" t="s">
        <v>724</v>
      </c>
      <c r="D111" s="818" t="s">
        <v>725</v>
      </c>
      <c r="E111" s="895">
        <v>0.2</v>
      </c>
      <c r="F111" s="882">
        <v>30</v>
      </c>
    </row>
    <row r="112" spans="1:6" s="878" customFormat="1" ht="24">
      <c r="A112" s="882">
        <v>52</v>
      </c>
      <c r="B112" s="3270"/>
      <c r="C112" s="882" t="s">
        <v>726</v>
      </c>
      <c r="D112" s="818" t="s">
        <v>727</v>
      </c>
      <c r="E112" s="895">
        <v>0.2</v>
      </c>
      <c r="F112" s="882">
        <v>30</v>
      </c>
    </row>
    <row r="113" spans="1:6" s="878" customFormat="1" ht="24">
      <c r="A113" s="882">
        <v>53</v>
      </c>
      <c r="B113" s="3270"/>
      <c r="C113" s="882" t="s">
        <v>728</v>
      </c>
      <c r="D113" s="818" t="s">
        <v>729</v>
      </c>
      <c r="E113" s="895">
        <v>0.2</v>
      </c>
      <c r="F113" s="882">
        <v>30</v>
      </c>
    </row>
    <row r="114" spans="1:6" ht="36">
      <c r="A114" s="882">
        <v>54</v>
      </c>
      <c r="B114" s="882" t="s">
        <v>730</v>
      </c>
      <c r="C114" s="882" t="s">
        <v>731</v>
      </c>
      <c r="D114" s="818" t="s">
        <v>732</v>
      </c>
      <c r="E114" s="895">
        <v>0.2</v>
      </c>
      <c r="F114" s="882">
        <v>30</v>
      </c>
    </row>
    <row r="115" spans="1:6" ht="24">
      <c r="A115" s="882">
        <v>55</v>
      </c>
      <c r="B115" s="882" t="s">
        <v>733</v>
      </c>
      <c r="C115" s="882" t="s">
        <v>734</v>
      </c>
      <c r="D115" s="818" t="s">
        <v>735</v>
      </c>
      <c r="E115" s="895">
        <v>0.2</v>
      </c>
      <c r="F115" s="882">
        <v>30</v>
      </c>
    </row>
    <row r="116" spans="1:6" ht="24">
      <c r="A116" s="882">
        <v>56</v>
      </c>
      <c r="B116" s="3270" t="s">
        <v>736</v>
      </c>
      <c r="C116" s="882" t="s">
        <v>737</v>
      </c>
      <c r="D116" s="818" t="s">
        <v>738</v>
      </c>
      <c r="E116" s="895">
        <v>0.2</v>
      </c>
      <c r="F116" s="882">
        <v>30</v>
      </c>
    </row>
    <row r="117" spans="1:6" ht="36">
      <c r="A117" s="882">
        <v>57</v>
      </c>
      <c r="B117" s="3270"/>
      <c r="C117" s="882" t="s">
        <v>739</v>
      </c>
      <c r="D117" s="818" t="s">
        <v>740</v>
      </c>
      <c r="E117" s="895">
        <v>0.2</v>
      </c>
      <c r="F117" s="882">
        <v>30</v>
      </c>
    </row>
    <row r="118" spans="1:6" ht="36">
      <c r="A118" s="882">
        <v>58</v>
      </c>
      <c r="B118" s="882" t="s">
        <v>741</v>
      </c>
      <c r="C118" s="882" t="s">
        <v>742</v>
      </c>
      <c r="D118" s="818" t="s">
        <v>743</v>
      </c>
      <c r="E118" s="895">
        <v>0.2</v>
      </c>
      <c r="F118" s="882">
        <v>30</v>
      </c>
    </row>
    <row r="119" spans="1:6" ht="13.5">
      <c r="A119" s="882"/>
      <c r="B119" s="882"/>
      <c r="C119" s="882" t="s">
        <v>744</v>
      </c>
      <c r="D119" s="882"/>
      <c r="E119" s="895" t="s">
        <v>554</v>
      </c>
      <c r="F119" s="882"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746</v>
      </c>
      <c r="B1" s="897"/>
      <c r="C1" s="897"/>
      <c r="D1" s="897"/>
      <c r="E1" s="897"/>
      <c r="F1" s="897"/>
      <c r="G1" s="897"/>
      <c r="H1" s="897"/>
      <c r="I1" s="897"/>
      <c r="J1" s="897"/>
      <c r="K1" s="897"/>
      <c r="L1" s="897"/>
      <c r="M1" s="897"/>
      <c r="N1" s="897"/>
    </row>
    <row r="2" spans="1:14">
      <c r="A2" s="899" t="s">
        <v>745</v>
      </c>
      <c r="B2" s="900" t="s">
        <v>156</v>
      </c>
      <c r="C2" s="900" t="s">
        <v>157</v>
      </c>
      <c r="D2" s="900" t="s">
        <v>158</v>
      </c>
      <c r="E2" s="900" t="s">
        <v>159</v>
      </c>
      <c r="F2" s="900" t="s">
        <v>160</v>
      </c>
      <c r="G2" s="900" t="s">
        <v>161</v>
      </c>
      <c r="H2" s="901" t="s">
        <v>162</v>
      </c>
      <c r="I2" s="901" t="s">
        <v>163</v>
      </c>
      <c r="J2" s="902" t="s">
        <v>164</v>
      </c>
      <c r="K2" s="902" t="s">
        <v>165</v>
      </c>
      <c r="L2" s="902" t="s">
        <v>166</v>
      </c>
      <c r="M2" s="902" t="s">
        <v>167</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747</v>
      </c>
      <c r="B103" s="897"/>
      <c r="C103" s="897"/>
      <c r="D103" s="897"/>
      <c r="E103" s="897"/>
      <c r="F103" s="897"/>
      <c r="G103" s="897"/>
      <c r="H103" s="897"/>
      <c r="I103" s="897"/>
      <c r="J103" s="897"/>
      <c r="K103" s="897"/>
      <c r="L103" s="897"/>
      <c r="M103" s="897"/>
      <c r="N103" s="897"/>
    </row>
    <row r="104" spans="1:14" ht="14.25">
      <c r="A104" s="899" t="s">
        <v>745</v>
      </c>
      <c r="B104" s="900" t="s">
        <v>156</v>
      </c>
      <c r="C104" s="900" t="s">
        <v>157</v>
      </c>
      <c r="D104" s="900" t="s">
        <v>158</v>
      </c>
      <c r="E104" s="900" t="s">
        <v>159</v>
      </c>
      <c r="F104" s="900" t="s">
        <v>160</v>
      </c>
      <c r="G104" s="900" t="s">
        <v>161</v>
      </c>
      <c r="H104" s="901" t="s">
        <v>162</v>
      </c>
      <c r="I104" s="901" t="s">
        <v>163</v>
      </c>
      <c r="J104" s="902" t="s">
        <v>164</v>
      </c>
      <c r="K104" s="902" t="s">
        <v>165</v>
      </c>
      <c r="L104" s="902" t="s">
        <v>166</v>
      </c>
      <c r="M104" s="902" t="s">
        <v>167</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748</v>
      </c>
      <c r="B205" s="897"/>
      <c r="C205" s="897"/>
      <c r="D205" s="897"/>
      <c r="E205" s="897"/>
      <c r="F205" s="897"/>
      <c r="G205" s="897"/>
      <c r="H205" s="897"/>
      <c r="I205" s="897"/>
      <c r="J205" s="897"/>
      <c r="K205" s="897"/>
      <c r="L205" s="897"/>
      <c r="M205" s="897"/>
    </row>
    <row r="206" spans="1:13">
      <c r="A206" s="899" t="s">
        <v>745</v>
      </c>
      <c r="B206" s="900" t="s">
        <v>156</v>
      </c>
      <c r="C206" s="900" t="s">
        <v>157</v>
      </c>
      <c r="D206" s="900" t="s">
        <v>158</v>
      </c>
      <c r="E206" s="900" t="s">
        <v>159</v>
      </c>
      <c r="F206" s="900" t="s">
        <v>160</v>
      </c>
      <c r="G206" s="900" t="s">
        <v>161</v>
      </c>
      <c r="H206" s="901" t="s">
        <v>162</v>
      </c>
      <c r="I206" s="901" t="s">
        <v>163</v>
      </c>
      <c r="J206" s="902" t="s">
        <v>164</v>
      </c>
      <c r="K206" s="902" t="s">
        <v>165</v>
      </c>
      <c r="L206" s="902" t="s">
        <v>166</v>
      </c>
      <c r="M206" s="902" t="s">
        <v>167</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749</v>
      </c>
      <c r="B307" s="897"/>
      <c r="C307" s="897"/>
      <c r="D307" s="897"/>
      <c r="E307" s="897"/>
      <c r="F307" s="897"/>
      <c r="G307" s="897"/>
      <c r="H307" s="897"/>
      <c r="I307" s="897"/>
      <c r="J307" s="897"/>
      <c r="K307" s="897"/>
      <c r="L307" s="897"/>
      <c r="M307" s="897"/>
    </row>
    <row r="308" spans="1:13">
      <c r="A308" s="899" t="s">
        <v>745</v>
      </c>
      <c r="B308" s="900" t="s">
        <v>156</v>
      </c>
      <c r="C308" s="900" t="s">
        <v>157</v>
      </c>
      <c r="D308" s="900" t="s">
        <v>158</v>
      </c>
      <c r="E308" s="900" t="s">
        <v>159</v>
      </c>
      <c r="F308" s="900" t="s">
        <v>160</v>
      </c>
      <c r="G308" s="900" t="s">
        <v>161</v>
      </c>
      <c r="H308" s="901" t="s">
        <v>162</v>
      </c>
      <c r="I308" s="901" t="s">
        <v>163</v>
      </c>
      <c r="J308" s="902" t="s">
        <v>164</v>
      </c>
      <c r="K308" s="902" t="s">
        <v>165</v>
      </c>
      <c r="L308" s="902" t="s">
        <v>166</v>
      </c>
      <c r="M308" s="902" t="s">
        <v>167</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2960</v>
      </c>
    </row>
    <row r="2" spans="1:5" ht="15.75">
      <c r="A2" s="2910" t="s">
        <v>2952</v>
      </c>
      <c r="B2" s="2911" t="e">
        <f ca="1">SUMIF(B6:B13,"&lt;&gt;#ref!",B6:B13)</f>
        <v>#DIV/0!</v>
      </c>
      <c r="C2" s="2910" t="s">
        <v>2953</v>
      </c>
      <c r="D2" s="2910" t="s">
        <v>2954</v>
      </c>
      <c r="E2" s="2911">
        <f ca="1">SUMIF(E6:E13,"&lt;&gt;#ref!",E6:E13)</f>
        <v>0</v>
      </c>
    </row>
    <row r="3" spans="1:5" ht="15.75">
      <c r="A3" s="2910" t="s">
        <v>2955</v>
      </c>
      <c r="B3" s="2911" t="e">
        <f ca="1">ROUND(B2*10000/E2,0)</f>
        <v>#DIV/0!</v>
      </c>
      <c r="C3" s="2910" t="s">
        <v>2961</v>
      </c>
      <c r="D3" s="2912"/>
      <c r="E3" s="2912"/>
    </row>
    <row r="4" spans="1:5" ht="15.75">
      <c r="A4" s="2913"/>
      <c r="B4" s="2912"/>
      <c r="C4" s="2912"/>
      <c r="D4" s="2912"/>
      <c r="E4" s="2912"/>
    </row>
    <row r="5" spans="1:5" ht="28.5">
      <c r="A5" s="2914" t="s">
        <v>2956</v>
      </c>
      <c r="B5" s="2910" t="s">
        <v>2957</v>
      </c>
      <c r="C5" s="2911"/>
      <c r="D5" s="2912"/>
      <c r="E5" s="2910" t="s">
        <v>2958</v>
      </c>
    </row>
    <row r="6" spans="1:5" ht="15.75">
      <c r="A6" s="2915" t="s">
        <v>2959</v>
      </c>
      <c r="B6" s="2911" t="e">
        <f ca="1">SUMIF(INDIRECT("'"&amp;A6&amp;"'"&amp;"!A:A"),"总价",INDIRECT("'"&amp;A6&amp;"'"&amp;"!B:B"))</f>
        <v>#DIV/0!</v>
      </c>
      <c r="C6" s="2910" t="s">
        <v>2953</v>
      </c>
      <c r="D6" s="2912"/>
      <c r="E6" s="2575">
        <f ca="1">SUMIF(INDIRECT("'"&amp;A6&amp;"'"&amp;"!C:C"),"建筑面积",INDIRECT("'"&amp;A6&amp;"'"&amp;"!D:D"))</f>
        <v>0</v>
      </c>
    </row>
    <row r="7" spans="1:5" ht="15.75">
      <c r="A7" s="2915"/>
      <c r="B7" s="2911" t="e">
        <f ca="1">SUMIF(INDIRECT("'"&amp;A7&amp;"'"&amp;"!A:A"),"总价",INDIRECT("'"&amp;A7&amp;"'"&amp;"!B:B"))</f>
        <v>#REF!</v>
      </c>
      <c r="C7" s="2910" t="s">
        <v>2953</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2953</v>
      </c>
      <c r="D8" s="2912"/>
      <c r="E8" s="2575" t="e">
        <f t="shared" ca="1" si="0"/>
        <v>#REF!</v>
      </c>
    </row>
    <row r="9" spans="1:5" ht="15.75">
      <c r="A9" s="2915"/>
      <c r="B9" s="2911" t="e">
        <f t="shared" ca="1" si="1"/>
        <v>#REF!</v>
      </c>
      <c r="C9" s="2910" t="s">
        <v>2953</v>
      </c>
      <c r="D9" s="2912"/>
      <c r="E9" s="2575" t="e">
        <f t="shared" ca="1" si="0"/>
        <v>#REF!</v>
      </c>
    </row>
    <row r="10" spans="1:5" ht="15.75">
      <c r="A10" s="2915"/>
      <c r="B10" s="2911" t="e">
        <f t="shared" ca="1" si="1"/>
        <v>#REF!</v>
      </c>
      <c r="C10" s="2910" t="s">
        <v>2953</v>
      </c>
      <c r="D10" s="2912"/>
      <c r="E10" s="2575" t="e">
        <f t="shared" ca="1" si="0"/>
        <v>#REF!</v>
      </c>
    </row>
    <row r="11" spans="1:5" ht="15.75">
      <c r="A11" s="2915"/>
      <c r="B11" s="2911" t="e">
        <f t="shared" ca="1" si="1"/>
        <v>#REF!</v>
      </c>
      <c r="C11" s="2910" t="s">
        <v>2953</v>
      </c>
      <c r="D11" s="2912"/>
      <c r="E11" s="2575" t="e">
        <f t="shared" ca="1" si="0"/>
        <v>#REF!</v>
      </c>
    </row>
    <row r="12" spans="1:5" ht="15.75">
      <c r="A12" s="2915"/>
      <c r="B12" s="2911" t="e">
        <f t="shared" ca="1" si="1"/>
        <v>#REF!</v>
      </c>
      <c r="C12" s="2910" t="s">
        <v>2953</v>
      </c>
      <c r="D12" s="2912"/>
      <c r="E12" s="2575" t="e">
        <f t="shared" ca="1" si="0"/>
        <v>#REF!</v>
      </c>
    </row>
    <row r="13" spans="1:5" ht="15.75">
      <c r="A13" s="2915"/>
      <c r="B13" s="2911" t="e">
        <f t="shared" ca="1" si="1"/>
        <v>#REF!</v>
      </c>
      <c r="C13" s="2910" t="s">
        <v>2953</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1149</v>
      </c>
      <c r="C1" s="3276"/>
      <c r="D1" s="3276"/>
      <c r="E1" s="3276"/>
      <c r="F1" s="3276"/>
      <c r="G1" s="3272" t="s">
        <v>1150</v>
      </c>
      <c r="H1" s="3272"/>
      <c r="I1" s="3272"/>
      <c r="J1" s="3272"/>
      <c r="K1" s="3272"/>
      <c r="L1" s="3272"/>
      <c r="N1" s="3272" t="s">
        <v>1151</v>
      </c>
      <c r="O1" s="3272"/>
      <c r="P1" s="3272"/>
      <c r="Q1" s="3272"/>
      <c r="R1" s="1448"/>
      <c r="S1" s="3272" t="s">
        <v>1152</v>
      </c>
      <c r="T1" s="3272"/>
      <c r="U1" s="3272"/>
      <c r="V1" s="3272"/>
      <c r="X1" s="3271" t="s">
        <v>1153</v>
      </c>
      <c r="Y1" s="3272"/>
      <c r="Z1" s="3272"/>
      <c r="AA1" s="3272"/>
      <c r="AB1" s="3272"/>
      <c r="AD1" s="3271" t="s">
        <v>1154</v>
      </c>
      <c r="AE1" s="3272"/>
      <c r="AF1" s="3272"/>
      <c r="AG1" s="3272"/>
      <c r="AH1" s="3272"/>
    </row>
    <row r="2" spans="1:34" s="1449" customFormat="1" ht="14.25" thickBot="1">
      <c r="B2" s="1450" t="s">
        <v>1155</v>
      </c>
      <c r="C2" s="1450" t="s">
        <v>1156</v>
      </c>
      <c r="D2" s="1451" t="s">
        <v>1157</v>
      </c>
      <c r="E2" s="1451" t="s">
        <v>1158</v>
      </c>
      <c r="F2" s="1450" t="s">
        <v>1159</v>
      </c>
      <c r="G2" s="1452"/>
      <c r="H2" s="1453"/>
      <c r="I2" s="1450" t="s">
        <v>1155</v>
      </c>
      <c r="J2" s="1451" t="s">
        <v>1384</v>
      </c>
      <c r="K2" s="1451" t="s">
        <v>750</v>
      </c>
      <c r="L2" s="1450" t="s">
        <v>1159</v>
      </c>
      <c r="N2" s="1450" t="s">
        <v>1155</v>
      </c>
      <c r="O2" s="1451" t="s">
        <v>1384</v>
      </c>
      <c r="P2" s="1451" t="s">
        <v>750</v>
      </c>
      <c r="Q2" s="1450" t="s">
        <v>1159</v>
      </c>
      <c r="R2" s="1454"/>
      <c r="S2" s="1450" t="s">
        <v>1155</v>
      </c>
      <c r="T2" s="1451" t="s">
        <v>1384</v>
      </c>
      <c r="U2" s="1451" t="s">
        <v>750</v>
      </c>
      <c r="V2" s="1450" t="s">
        <v>1159</v>
      </c>
      <c r="X2" s="1450" t="s">
        <v>1155</v>
      </c>
      <c r="Y2" s="1450" t="s">
        <v>1156</v>
      </c>
      <c r="Z2" s="1451" t="s">
        <v>1157</v>
      </c>
      <c r="AA2" s="1451" t="s">
        <v>1158</v>
      </c>
      <c r="AB2" s="1450" t="s">
        <v>1159</v>
      </c>
      <c r="AD2" s="1450" t="s">
        <v>1155</v>
      </c>
      <c r="AE2" s="1450" t="s">
        <v>1156</v>
      </c>
      <c r="AF2" s="1451" t="s">
        <v>1157</v>
      </c>
      <c r="AG2" s="1451" t="s">
        <v>1158</v>
      </c>
      <c r="AH2" s="1450" t="s">
        <v>1159</v>
      </c>
    </row>
    <row r="3" spans="1:34" s="2929" customFormat="1" ht="14.25">
      <c r="A3" s="2938" t="s">
        <v>2995</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3001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2996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2994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0">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2991</v>
      </c>
      <c r="B7" s="1471">
        <v>439</v>
      </c>
      <c r="C7" s="1471">
        <v>327</v>
      </c>
      <c r="D7" s="1471">
        <f>C7</f>
        <v>327</v>
      </c>
      <c r="E7" s="1471">
        <v>627</v>
      </c>
      <c r="F7" s="1472">
        <v>283</v>
      </c>
      <c r="G7" s="2926">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2992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2"/>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1385</v>
      </c>
      <c r="B9" s="1479">
        <f t="shared" si="30"/>
        <v>419.31181600000002</v>
      </c>
      <c r="C9" s="1479">
        <f t="shared" si="31"/>
        <v>313.95436800000004</v>
      </c>
      <c r="D9" s="1479">
        <f t="shared" si="32"/>
        <v>313.95436800000004</v>
      </c>
      <c r="E9" s="1479">
        <f t="shared" si="33"/>
        <v>596.63028431999999</v>
      </c>
      <c r="F9" s="1479">
        <f t="shared" si="34"/>
        <v>274.74220703999998</v>
      </c>
      <c r="G9" s="2921"/>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1160</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153</v>
      </c>
      <c r="B11" s="1471">
        <v>392</v>
      </c>
      <c r="C11" s="1471">
        <v>302</v>
      </c>
      <c r="D11" s="1471">
        <f>C11</f>
        <v>302</v>
      </c>
      <c r="E11" s="1471">
        <v>553</v>
      </c>
      <c r="F11" s="1472">
        <v>266</v>
      </c>
      <c r="G11" s="3277">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152</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4"/>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142</v>
      </c>
      <c r="B13" s="1479">
        <f t="shared" si="43"/>
        <v>360.06949782209392</v>
      </c>
      <c r="C13" s="1479">
        <f t="shared" si="43"/>
        <v>289.84672674747821</v>
      </c>
      <c r="D13" s="1479">
        <f t="shared" si="44"/>
        <v>289.84672674747821</v>
      </c>
      <c r="E13" s="1479">
        <f t="shared" si="45"/>
        <v>501.06543001181495</v>
      </c>
      <c r="F13" s="1479">
        <f t="shared" si="45"/>
        <v>256.82882500744967</v>
      </c>
      <c r="G13" s="3274"/>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151</v>
      </c>
      <c r="B14" s="1479">
        <f t="shared" si="43"/>
        <v>346.720748986128</v>
      </c>
      <c r="C14" s="1479">
        <f t="shared" si="43"/>
        <v>284.30282172386285</v>
      </c>
      <c r="D14" s="1479">
        <f t="shared" si="44"/>
        <v>284.30282172386285</v>
      </c>
      <c r="E14" s="1479">
        <f t="shared" si="45"/>
        <v>479.58023546306947</v>
      </c>
      <c r="F14" s="1479">
        <f t="shared" si="45"/>
        <v>253.25788877571213</v>
      </c>
      <c r="G14" s="3275"/>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150</v>
      </c>
      <c r="B15" s="1471">
        <v>333</v>
      </c>
      <c r="C15" s="1471">
        <v>277</v>
      </c>
      <c r="D15" s="1471">
        <f t="shared" si="44"/>
        <v>277</v>
      </c>
      <c r="E15" s="1471">
        <v>459</v>
      </c>
      <c r="F15" s="1472">
        <v>249</v>
      </c>
      <c r="G15" s="3273">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149</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4"/>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148</v>
      </c>
      <c r="B17" s="1479">
        <f t="shared" si="47"/>
        <v>322.34053690220776</v>
      </c>
      <c r="C17" s="1479">
        <f t="shared" si="47"/>
        <v>271.46160770422546</v>
      </c>
      <c r="D17" s="1479">
        <f t="shared" si="44"/>
        <v>271.46160770422546</v>
      </c>
      <c r="E17" s="1479">
        <f t="shared" si="48"/>
        <v>442.69434542172456</v>
      </c>
      <c r="F17" s="1479">
        <f t="shared" si="48"/>
        <v>241.34030753190925</v>
      </c>
      <c r="G17" s="3274"/>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147</v>
      </c>
      <c r="B18" s="1479">
        <f t="shared" si="47"/>
        <v>319.87748030386797</v>
      </c>
      <c r="C18" s="1479">
        <f t="shared" si="47"/>
        <v>269.60135833173649</v>
      </c>
      <c r="D18" s="1479">
        <f t="shared" si="44"/>
        <v>269.60135833173649</v>
      </c>
      <c r="E18" s="1479">
        <f t="shared" si="48"/>
        <v>439.18089823583784</v>
      </c>
      <c r="F18" s="1479">
        <f t="shared" si="48"/>
        <v>239.23503918706311</v>
      </c>
      <c r="G18" s="3275"/>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146</v>
      </c>
      <c r="B19" s="1492">
        <v>318</v>
      </c>
      <c r="C19" s="1492">
        <v>268</v>
      </c>
      <c r="D19" s="1492">
        <f t="shared" si="44"/>
        <v>268</v>
      </c>
      <c r="E19" s="1492">
        <v>437</v>
      </c>
      <c r="F19" s="1493">
        <v>237</v>
      </c>
      <c r="G19" s="3273">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145</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4"/>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144</v>
      </c>
      <c r="B21" s="1479">
        <f t="shared" si="49"/>
        <v>314.72141172386546</v>
      </c>
      <c r="C21" s="1479">
        <f t="shared" si="49"/>
        <v>263.03901319069001</v>
      </c>
      <c r="D21" s="1479">
        <f t="shared" si="44"/>
        <v>263.03901319069001</v>
      </c>
      <c r="E21" s="1479">
        <f t="shared" si="50"/>
        <v>433.65745506782821</v>
      </c>
      <c r="F21" s="1479">
        <f t="shared" si="50"/>
        <v>233.23005080045735</v>
      </c>
      <c r="G21" s="3274"/>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143</v>
      </c>
      <c r="B22" s="1497">
        <f t="shared" si="49"/>
        <v>307.34512863658733</v>
      </c>
      <c r="C22" s="1497">
        <f t="shared" si="49"/>
        <v>257.80556031626975</v>
      </c>
      <c r="D22" s="1497">
        <f t="shared" si="44"/>
        <v>257.80556031626975</v>
      </c>
      <c r="E22" s="1497">
        <f t="shared" si="50"/>
        <v>422.70928459677179</v>
      </c>
      <c r="F22" s="1497">
        <f t="shared" si="50"/>
        <v>229.73803270336617</v>
      </c>
      <c r="G22" s="3275"/>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1161</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1162</v>
      </c>
      <c r="B23" s="1471">
        <v>299</v>
      </c>
      <c r="C23" s="1471">
        <v>252</v>
      </c>
      <c r="D23" s="1471">
        <f t="shared" si="44"/>
        <v>252</v>
      </c>
      <c r="E23" s="1471">
        <v>409</v>
      </c>
      <c r="F23" s="1472">
        <v>227</v>
      </c>
      <c r="G23" s="3278">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1163</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9"/>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1164</v>
      </c>
      <c r="B25" s="1479">
        <f t="shared" si="53"/>
        <v>288.2649053828776</v>
      </c>
      <c r="C25" s="1479">
        <f t="shared" si="53"/>
        <v>243.64564425013293</v>
      </c>
      <c r="D25" s="1479">
        <f t="shared" si="44"/>
        <v>243.64564425013293</v>
      </c>
      <c r="E25" s="1479">
        <f t="shared" si="54"/>
        <v>393.31080825986544</v>
      </c>
      <c r="F25" s="1479">
        <f t="shared" si="54"/>
        <v>223.07903790551154</v>
      </c>
      <c r="G25" s="3279"/>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1165</v>
      </c>
      <c r="B26" s="1479">
        <f t="shared" si="53"/>
        <v>282.50186729015837</v>
      </c>
      <c r="C26" s="1479">
        <f t="shared" si="53"/>
        <v>238.09796174155468</v>
      </c>
      <c r="D26" s="1479">
        <f t="shared" si="44"/>
        <v>238.09796174155468</v>
      </c>
      <c r="E26" s="1479">
        <f t="shared" si="54"/>
        <v>385.33438646014054</v>
      </c>
      <c r="F26" s="1479">
        <f t="shared" si="54"/>
        <v>221.55034055567739</v>
      </c>
      <c r="G26" s="3280"/>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1166</v>
      </c>
      <c r="B27" s="1513">
        <v>278</v>
      </c>
      <c r="C27" s="1513">
        <v>234</v>
      </c>
      <c r="D27" s="1513">
        <f t="shared" si="44"/>
        <v>234</v>
      </c>
      <c r="E27" s="1513">
        <v>379</v>
      </c>
      <c r="F27" s="1514">
        <v>220</v>
      </c>
      <c r="G27" s="3273">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1167</v>
      </c>
      <c r="B28" s="1479">
        <f>B27/(1+N27)</f>
        <v>275.49301357645425</v>
      </c>
      <c r="C28" s="1479">
        <f>C27/(1+O27)</f>
        <v>232.41954707985698</v>
      </c>
      <c r="D28" s="1479">
        <f t="shared" si="44"/>
        <v>232.41954707985698</v>
      </c>
      <c r="E28" s="1479">
        <f t="shared" ref="E28:F30" si="55">E27/(1+P27)</f>
        <v>375.32184591008121</v>
      </c>
      <c r="F28" s="1479">
        <f t="shared" si="55"/>
        <v>218.03766105054513</v>
      </c>
      <c r="G28" s="3274"/>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1168</v>
      </c>
      <c r="B29" s="1479">
        <f>B28/(1+N28)</f>
        <v>275.24529281292263</v>
      </c>
      <c r="C29" s="1479">
        <f>C28/(1+O28)</f>
        <v>231.74747938962707</v>
      </c>
      <c r="D29" s="1479">
        <f t="shared" si="44"/>
        <v>231.74747938962707</v>
      </c>
      <c r="E29" s="1479">
        <f t="shared" si="55"/>
        <v>375.35938184826603</v>
      </c>
      <c r="F29" s="1479">
        <f t="shared" si="55"/>
        <v>216.78033510692495</v>
      </c>
      <c r="G29" s="3274"/>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1169</v>
      </c>
      <c r="B30" s="1479">
        <f>B29/(1+N29)</f>
        <v>275.19025476197027</v>
      </c>
      <c r="C30" s="1515">
        <v>232</v>
      </c>
      <c r="D30" s="1515">
        <f t="shared" si="44"/>
        <v>232</v>
      </c>
      <c r="E30" s="1479">
        <f t="shared" si="55"/>
        <v>375.65990977608692</v>
      </c>
      <c r="F30" s="1479">
        <f t="shared" si="55"/>
        <v>214.12518283971252</v>
      </c>
      <c r="G30" s="3275"/>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1170</v>
      </c>
      <c r="B31" s="1471">
        <v>275</v>
      </c>
      <c r="C31" s="1471">
        <v>232</v>
      </c>
      <c r="D31" s="1471">
        <f t="shared" si="44"/>
        <v>232</v>
      </c>
      <c r="E31" s="1471">
        <v>376</v>
      </c>
      <c r="F31" s="1472">
        <v>213</v>
      </c>
      <c r="G31" s="3273">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1171</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4">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1172</v>
      </c>
      <c r="B33" s="1479">
        <f t="shared" si="56"/>
        <v>275.19335084830601</v>
      </c>
      <c r="C33" s="1479">
        <f t="shared" si="56"/>
        <v>230.18088050139744</v>
      </c>
      <c r="D33" s="1479">
        <f t="shared" si="44"/>
        <v>230.18088050139744</v>
      </c>
      <c r="E33" s="1479">
        <f t="shared" si="57"/>
        <v>377.58482925212331</v>
      </c>
      <c r="F33" s="1479">
        <f t="shared" si="57"/>
        <v>210.90687997847917</v>
      </c>
      <c r="G33" s="3274">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1173</v>
      </c>
      <c r="B34" s="1479">
        <f t="shared" si="56"/>
        <v>276.29854502841971</v>
      </c>
      <c r="C34" s="1479">
        <f t="shared" si="56"/>
        <v>229.79023709833027</v>
      </c>
      <c r="D34" s="1479">
        <f t="shared" si="44"/>
        <v>229.79023709833027</v>
      </c>
      <c r="E34" s="1479">
        <f t="shared" si="57"/>
        <v>379.78759731655936</v>
      </c>
      <c r="F34" s="1479">
        <f t="shared" si="57"/>
        <v>211.32953905659235</v>
      </c>
      <c r="G34" s="3275">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1174</v>
      </c>
      <c r="B35" s="1471">
        <v>269</v>
      </c>
      <c r="C35" s="1471">
        <v>221</v>
      </c>
      <c r="D35" s="1471">
        <f t="shared" si="44"/>
        <v>221</v>
      </c>
      <c r="E35" s="1471">
        <v>373</v>
      </c>
      <c r="F35" s="1472">
        <v>196</v>
      </c>
      <c r="G35" s="3273">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1175</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4">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1176</v>
      </c>
      <c r="B37" s="1479">
        <f t="shared" si="58"/>
        <v>242.95398227588385</v>
      </c>
      <c r="C37" s="1479">
        <f t="shared" si="58"/>
        <v>199.59137053614126</v>
      </c>
      <c r="D37" s="1479">
        <f t="shared" si="44"/>
        <v>199.59137053614126</v>
      </c>
      <c r="E37" s="1479">
        <f t="shared" si="59"/>
        <v>335.92189522342125</v>
      </c>
      <c r="F37" s="1479">
        <f t="shared" si="59"/>
        <v>183.10139991109489</v>
      </c>
      <c r="G37" s="3274">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1177</v>
      </c>
      <c r="B38" s="1479">
        <f t="shared" si="58"/>
        <v>232.06990378821649</v>
      </c>
      <c r="C38" s="1479">
        <f t="shared" si="58"/>
        <v>192.74878854286936</v>
      </c>
      <c r="D38" s="1479">
        <f t="shared" si="44"/>
        <v>192.74878854286936</v>
      </c>
      <c r="E38" s="1479">
        <f t="shared" si="59"/>
        <v>319.71247284992984</v>
      </c>
      <c r="F38" s="1479">
        <f t="shared" si="59"/>
        <v>175.67053622862409</v>
      </c>
      <c r="G38" s="3275">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1178</v>
      </c>
      <c r="B39" s="1471">
        <v>220</v>
      </c>
      <c r="C39" s="1471">
        <v>187</v>
      </c>
      <c r="D39" s="1471">
        <f t="shared" si="44"/>
        <v>187</v>
      </c>
      <c r="E39" s="1471">
        <v>301</v>
      </c>
      <c r="F39" s="1472">
        <v>168</v>
      </c>
      <c r="G39" s="3273">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1179</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4">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1180</v>
      </c>
      <c r="B41" s="1479">
        <f t="shared" si="60"/>
        <v>210.630522469011</v>
      </c>
      <c r="C41" s="1479">
        <f t="shared" si="60"/>
        <v>181.69567812247232</v>
      </c>
      <c r="D41" s="1479">
        <f t="shared" si="44"/>
        <v>181.69567812247232</v>
      </c>
      <c r="E41" s="1479">
        <f t="shared" si="61"/>
        <v>286.13517466736738</v>
      </c>
      <c r="F41" s="1479">
        <f t="shared" si="61"/>
        <v>165.47535084591149</v>
      </c>
      <c r="G41" s="3274">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1181</v>
      </c>
      <c r="B42" s="1479">
        <f t="shared" si="60"/>
        <v>208.83454537875372</v>
      </c>
      <c r="C42" s="1479">
        <f t="shared" si="60"/>
        <v>183.77230517090351</v>
      </c>
      <c r="D42" s="1479">
        <f t="shared" si="44"/>
        <v>183.77230517090351</v>
      </c>
      <c r="E42" s="1479">
        <f t="shared" si="61"/>
        <v>281.10342338870947</v>
      </c>
      <c r="F42" s="1479">
        <f t="shared" si="61"/>
        <v>168.97309388942256</v>
      </c>
      <c r="G42" s="3275">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1182</v>
      </c>
      <c r="B43" s="1513">
        <v>214</v>
      </c>
      <c r="C43" s="1513">
        <v>188</v>
      </c>
      <c r="D43" s="1513">
        <f t="shared" si="44"/>
        <v>188</v>
      </c>
      <c r="E43" s="1513">
        <v>289</v>
      </c>
      <c r="F43" s="1514">
        <v>166</v>
      </c>
      <c r="G43" s="3273">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1183</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4">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1184</v>
      </c>
      <c r="B45" s="1479">
        <f t="shared" si="62"/>
        <v>206.31694671589116</v>
      </c>
      <c r="C45" s="1479">
        <f t="shared" si="62"/>
        <v>183.61041121036101</v>
      </c>
      <c r="D45" s="1479">
        <f t="shared" si="44"/>
        <v>183.61041121036101</v>
      </c>
      <c r="E45" s="1479">
        <f t="shared" si="63"/>
        <v>276.66850301795557</v>
      </c>
      <c r="F45" s="1479">
        <f t="shared" si="63"/>
        <v>165.1360938278614</v>
      </c>
      <c r="G45" s="3274">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1185</v>
      </c>
      <c r="B46" s="1516">
        <f t="shared" si="62"/>
        <v>196.62341248059772</v>
      </c>
      <c r="C46" s="1516">
        <f t="shared" si="62"/>
        <v>170.99125648199012</v>
      </c>
      <c r="D46" s="1516">
        <f t="shared" si="44"/>
        <v>170.99125648199012</v>
      </c>
      <c r="E46" s="1516">
        <f t="shared" si="63"/>
        <v>266.07857570490052</v>
      </c>
      <c r="F46" s="1516">
        <f t="shared" si="63"/>
        <v>154.53499328828505</v>
      </c>
      <c r="G46" s="3275">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1186</v>
      </c>
      <c r="B47" s="1471">
        <v>188</v>
      </c>
      <c r="C47" s="1471">
        <v>165</v>
      </c>
      <c r="D47" s="1471">
        <f t="shared" si="44"/>
        <v>165</v>
      </c>
      <c r="E47" s="1471">
        <v>254</v>
      </c>
      <c r="F47" s="1472">
        <v>148</v>
      </c>
      <c r="G47" s="3273">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1187</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4">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1188</v>
      </c>
      <c r="B49" s="1479">
        <f t="shared" si="66"/>
        <v>168.82017748715555</v>
      </c>
      <c r="C49" s="1479">
        <f t="shared" si="66"/>
        <v>148.06267029972753</v>
      </c>
      <c r="D49" s="1479">
        <f t="shared" si="44"/>
        <v>148.06267029972753</v>
      </c>
      <c r="E49" s="1479">
        <f t="shared" si="67"/>
        <v>216.46288379323747</v>
      </c>
      <c r="F49" s="1479">
        <f t="shared" si="67"/>
        <v>134.23529411764704</v>
      </c>
      <c r="G49" s="3274">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1189</v>
      </c>
      <c r="B50" s="1479">
        <f t="shared" si="66"/>
        <v>163.84913591779542</v>
      </c>
      <c r="C50" s="1479">
        <f t="shared" si="66"/>
        <v>145.0283378746594</v>
      </c>
      <c r="D50" s="1479">
        <f t="shared" si="44"/>
        <v>145.0283378746594</v>
      </c>
      <c r="E50" s="1479">
        <f t="shared" si="67"/>
        <v>204.95180722891567</v>
      </c>
      <c r="F50" s="1479">
        <f t="shared" si="67"/>
        <v>125.95920303605313</v>
      </c>
      <c r="G50" s="3275">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1190</v>
      </c>
      <c r="B51" s="1492">
        <v>159</v>
      </c>
      <c r="C51" s="1492">
        <v>141</v>
      </c>
      <c r="D51" s="1492">
        <f t="shared" si="44"/>
        <v>141</v>
      </c>
      <c r="E51" s="1492">
        <v>195</v>
      </c>
      <c r="F51" s="1493">
        <v>122</v>
      </c>
      <c r="G51" s="3273">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1191</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4">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1192</v>
      </c>
      <c r="B53" s="1479">
        <f t="shared" si="70"/>
        <v>146.57412060301507</v>
      </c>
      <c r="C53" s="1479">
        <f t="shared" si="70"/>
        <v>136.46831955922866</v>
      </c>
      <c r="D53" s="1479">
        <f t="shared" si="44"/>
        <v>136.46831955922866</v>
      </c>
      <c r="E53" s="1479">
        <f t="shared" si="71"/>
        <v>166.73864894795128</v>
      </c>
      <c r="F53" s="1479">
        <f t="shared" si="71"/>
        <v>115.05882352941177</v>
      </c>
      <c r="G53" s="3274">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1193</v>
      </c>
      <c r="B54" s="1479">
        <f t="shared" si="70"/>
        <v>144.04145728643215</v>
      </c>
      <c r="C54" s="1479">
        <f t="shared" si="70"/>
        <v>136.12396694214877</v>
      </c>
      <c r="D54" s="1479">
        <f t="shared" si="44"/>
        <v>136.12396694214877</v>
      </c>
      <c r="E54" s="1479">
        <f t="shared" si="71"/>
        <v>158.32225913621264</v>
      </c>
      <c r="F54" s="1479">
        <f t="shared" si="71"/>
        <v>114.04278074866311</v>
      </c>
      <c r="G54" s="3275">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1194</v>
      </c>
      <c r="B55" s="1492">
        <v>138</v>
      </c>
      <c r="C55" s="1492">
        <v>131</v>
      </c>
      <c r="D55" s="1492">
        <f t="shared" si="44"/>
        <v>131</v>
      </c>
      <c r="E55" s="1492">
        <v>155</v>
      </c>
      <c r="F55" s="1493">
        <v>114</v>
      </c>
      <c r="G55" s="3273">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1195</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4">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1196</v>
      </c>
      <c r="B57" s="1479">
        <f t="shared" si="74"/>
        <v>124.29032258064517</v>
      </c>
      <c r="C57" s="1479">
        <f t="shared" si="74"/>
        <v>123.8968609865471</v>
      </c>
      <c r="D57" s="1479">
        <f t="shared" si="44"/>
        <v>123.8968609865471</v>
      </c>
      <c r="E57" s="1479">
        <f t="shared" si="75"/>
        <v>138.00507614213197</v>
      </c>
      <c r="F57" s="1479">
        <f t="shared" si="75"/>
        <v>107.96106557377048</v>
      </c>
      <c r="G57" s="3274">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1197</v>
      </c>
      <c r="B58" s="1479">
        <f t="shared" si="74"/>
        <v>122.57204301075269</v>
      </c>
      <c r="C58" s="1479">
        <f t="shared" si="74"/>
        <v>123.4932735426009</v>
      </c>
      <c r="D58" s="1479">
        <f t="shared" si="44"/>
        <v>123.4932735426009</v>
      </c>
      <c r="E58" s="1479">
        <f t="shared" si="75"/>
        <v>129.82233502538071</v>
      </c>
      <c r="F58" s="1479">
        <f t="shared" si="75"/>
        <v>107.39446721311475</v>
      </c>
      <c r="G58" s="3275">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1198</v>
      </c>
      <c r="B59" s="1513">
        <v>121</v>
      </c>
      <c r="C59" s="1513">
        <v>122</v>
      </c>
      <c r="D59" s="1513">
        <f t="shared" si="44"/>
        <v>122</v>
      </c>
      <c r="E59" s="1513">
        <v>124</v>
      </c>
      <c r="F59" s="1514">
        <v>107</v>
      </c>
      <c r="G59" s="3273">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1199</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4">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1200</v>
      </c>
      <c r="B61" s="1479">
        <f t="shared" si="78"/>
        <v>116.99099099099099</v>
      </c>
      <c r="C61" s="1479">
        <f t="shared" si="78"/>
        <v>118.84848484848486</v>
      </c>
      <c r="D61" s="1479">
        <f t="shared" si="44"/>
        <v>118.84848484848486</v>
      </c>
      <c r="E61" s="1479">
        <f t="shared" si="79"/>
        <v>117.60960960960961</v>
      </c>
      <c r="F61" s="1479">
        <f t="shared" si="79"/>
        <v>104</v>
      </c>
      <c r="G61" s="3274">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1201</v>
      </c>
      <c r="B62" s="1516">
        <f t="shared" si="78"/>
        <v>112.48648648648648</v>
      </c>
      <c r="C62" s="1516">
        <f t="shared" si="78"/>
        <v>115.21212121212122</v>
      </c>
      <c r="D62" s="1516">
        <f t="shared" si="44"/>
        <v>115.21212121212122</v>
      </c>
      <c r="E62" s="1516">
        <f t="shared" si="79"/>
        <v>110.4024024024024</v>
      </c>
      <c r="F62" s="1516">
        <f t="shared" si="79"/>
        <v>104</v>
      </c>
      <c r="G62" s="3275">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1202</v>
      </c>
      <c r="B63" s="1534">
        <v>111</v>
      </c>
      <c r="C63" s="1534">
        <v>114</v>
      </c>
      <c r="D63" s="1534">
        <f t="shared" si="44"/>
        <v>114</v>
      </c>
      <c r="E63" s="1534">
        <v>108</v>
      </c>
      <c r="F63" s="1535">
        <v>104</v>
      </c>
      <c r="G63" s="3273">
        <v>2003</v>
      </c>
      <c r="H63" s="1524">
        <v>4</v>
      </c>
      <c r="I63" s="1536"/>
      <c r="J63" s="1536"/>
      <c r="K63" s="1536"/>
      <c r="L63" s="1536"/>
      <c r="N63" s="1537"/>
      <c r="O63" s="1536"/>
      <c r="P63" s="1536"/>
      <c r="Q63" s="1536"/>
      <c r="S63" s="1537"/>
      <c r="T63" s="1536"/>
      <c r="U63" s="1536"/>
      <c r="V63" s="1536"/>
      <c r="X63" s="1528"/>
      <c r="Y63" s="1528"/>
      <c r="Z63" s="1528"/>
    </row>
    <row r="64" spans="1:26">
      <c r="A64" s="1463" t="s">
        <v>1203</v>
      </c>
      <c r="B64" s="1538">
        <f t="shared" ref="B64:C66" si="80">B65+(B$63-B$67)/4</f>
        <v>109.75</v>
      </c>
      <c r="C64" s="1538">
        <f t="shared" si="80"/>
        <v>112.25</v>
      </c>
      <c r="D64" s="1538">
        <f t="shared" si="44"/>
        <v>112.25</v>
      </c>
      <c r="E64" s="1538">
        <f t="shared" ref="E64:F66" si="81">E65+(E$63-E$67)/4</f>
        <v>107.25</v>
      </c>
      <c r="F64" s="1538">
        <f t="shared" si="81"/>
        <v>103.5</v>
      </c>
      <c r="G64" s="3274">
        <v>2003</v>
      </c>
      <c r="H64" s="1489">
        <v>3</v>
      </c>
      <c r="I64" s="1536"/>
      <c r="J64" s="1536"/>
      <c r="K64" s="1536"/>
      <c r="L64" s="1536"/>
      <c r="X64" s="1528"/>
      <c r="Y64" s="1528"/>
      <c r="Z64" s="1528"/>
    </row>
    <row r="65" spans="1:26">
      <c r="A65" s="1463" t="s">
        <v>1204</v>
      </c>
      <c r="B65" s="1538">
        <f t="shared" si="80"/>
        <v>108.5</v>
      </c>
      <c r="C65" s="1538">
        <f t="shared" si="80"/>
        <v>110.5</v>
      </c>
      <c r="D65" s="1538">
        <f t="shared" si="44"/>
        <v>110.5</v>
      </c>
      <c r="E65" s="1538">
        <f t="shared" si="81"/>
        <v>106.5</v>
      </c>
      <c r="F65" s="1538">
        <f t="shared" si="81"/>
        <v>103</v>
      </c>
      <c r="G65" s="3274">
        <v>2003</v>
      </c>
      <c r="H65" s="1467">
        <v>2</v>
      </c>
      <c r="I65" s="1536"/>
      <c r="J65" s="1536"/>
      <c r="K65" s="1536"/>
      <c r="L65" s="1536"/>
      <c r="X65" s="1528"/>
      <c r="Y65" s="1528"/>
      <c r="Z65" s="1528"/>
    </row>
    <row r="66" spans="1:26" ht="13.5" thickBot="1">
      <c r="A66" s="1463" t="s">
        <v>1205</v>
      </c>
      <c r="B66" s="1538">
        <f t="shared" si="80"/>
        <v>107.25</v>
      </c>
      <c r="C66" s="1538">
        <f t="shared" si="80"/>
        <v>108.75</v>
      </c>
      <c r="D66" s="1538">
        <f t="shared" si="44"/>
        <v>108.75</v>
      </c>
      <c r="E66" s="1538">
        <f t="shared" si="81"/>
        <v>105.75</v>
      </c>
      <c r="F66" s="1538">
        <f t="shared" si="81"/>
        <v>102.5</v>
      </c>
      <c r="G66" s="3275">
        <v>2003</v>
      </c>
      <c r="H66" s="1539">
        <v>1</v>
      </c>
      <c r="I66" s="1536"/>
      <c r="J66" s="1536"/>
      <c r="K66" s="1536"/>
      <c r="L66" s="1536"/>
      <c r="S66" s="1474"/>
      <c r="T66" s="1475"/>
      <c r="U66" s="1475"/>
      <c r="X66" s="1528"/>
      <c r="Y66" s="1528"/>
      <c r="Z66" s="1528"/>
    </row>
    <row r="67" spans="1:26" ht="13.5" thickBot="1">
      <c r="A67" s="1463" t="s">
        <v>1206</v>
      </c>
      <c r="B67" s="1540">
        <v>106</v>
      </c>
      <c r="C67" s="1540">
        <v>107</v>
      </c>
      <c r="D67" s="1540">
        <f t="shared" si="44"/>
        <v>107</v>
      </c>
      <c r="E67" s="1540">
        <v>105</v>
      </c>
      <c r="F67" s="1541">
        <v>102</v>
      </c>
      <c r="G67" s="3273">
        <v>2002</v>
      </c>
      <c r="H67" s="1484">
        <v>4</v>
      </c>
      <c r="I67" s="1536"/>
      <c r="J67" s="1536"/>
      <c r="K67" s="1536"/>
      <c r="L67" s="1536"/>
      <c r="N67" s="1537"/>
      <c r="O67" s="1536"/>
      <c r="P67" s="1536"/>
      <c r="Q67" s="1536"/>
      <c r="S67" s="1537"/>
      <c r="T67" s="1536"/>
      <c r="U67" s="1536"/>
      <c r="V67" s="1536"/>
      <c r="X67" s="1528"/>
      <c r="Y67" s="1528"/>
      <c r="Z67" s="1528"/>
    </row>
    <row r="68" spans="1:26">
      <c r="A68" s="1463" t="s">
        <v>1207</v>
      </c>
      <c r="B68" s="1538">
        <f t="shared" ref="B68:C70" si="82">B69+(B$67-B$71)/4</f>
        <v>105</v>
      </c>
      <c r="C68" s="1538">
        <f t="shared" si="82"/>
        <v>106</v>
      </c>
      <c r="D68" s="1538">
        <f t="shared" si="44"/>
        <v>106</v>
      </c>
      <c r="E68" s="1538">
        <f t="shared" ref="E68:F70" si="83">E69+(E$67-E$71)/4</f>
        <v>104.5</v>
      </c>
      <c r="F68" s="1538">
        <f t="shared" si="83"/>
        <v>101.5</v>
      </c>
      <c r="G68" s="3274">
        <v>2002</v>
      </c>
      <c r="H68" s="1489">
        <v>3</v>
      </c>
      <c r="I68" s="1536"/>
      <c r="J68" s="1536"/>
      <c r="K68" s="1536"/>
      <c r="L68" s="1536"/>
      <c r="X68" s="1528"/>
      <c r="Y68" s="1528"/>
      <c r="Z68" s="1528"/>
    </row>
    <row r="69" spans="1:26">
      <c r="A69" s="1463" t="s">
        <v>1208</v>
      </c>
      <c r="B69" s="1538">
        <f t="shared" si="82"/>
        <v>104</v>
      </c>
      <c r="C69" s="1538">
        <f t="shared" si="82"/>
        <v>105</v>
      </c>
      <c r="D69" s="1538">
        <f t="shared" si="44"/>
        <v>105</v>
      </c>
      <c r="E69" s="1538">
        <f t="shared" si="83"/>
        <v>104</v>
      </c>
      <c r="F69" s="1538">
        <f t="shared" si="83"/>
        <v>101</v>
      </c>
      <c r="G69" s="3274">
        <v>2002</v>
      </c>
      <c r="H69" s="1467">
        <v>2</v>
      </c>
      <c r="I69" s="1536"/>
      <c r="J69" s="1536"/>
      <c r="K69" s="1536"/>
      <c r="L69" s="1536"/>
      <c r="X69" s="1528"/>
      <c r="Y69" s="1528"/>
      <c r="Z69" s="1528"/>
    </row>
    <row r="70" spans="1:26" s="1500" customFormat="1" ht="13.5" thickBot="1">
      <c r="A70" s="1496" t="s">
        <v>1209</v>
      </c>
      <c r="B70" s="1542">
        <f t="shared" si="82"/>
        <v>103</v>
      </c>
      <c r="C70" s="1542">
        <f t="shared" si="82"/>
        <v>104</v>
      </c>
      <c r="D70" s="1542">
        <f t="shared" si="44"/>
        <v>104</v>
      </c>
      <c r="E70" s="1542">
        <f t="shared" si="83"/>
        <v>103.5</v>
      </c>
      <c r="F70" s="1542">
        <f t="shared" si="83"/>
        <v>100.5</v>
      </c>
      <c r="G70" s="3275">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1210</v>
      </c>
      <c r="G73" s="1552"/>
      <c r="N73" s="1552"/>
      <c r="S73" s="1552"/>
    </row>
    <row r="74" spans="1:26" s="1551" customFormat="1">
      <c r="A74" s="1551" t="s">
        <v>1211</v>
      </c>
      <c r="G74" s="1552"/>
      <c r="N74" s="1552"/>
      <c r="S74" s="1552"/>
    </row>
    <row r="75" spans="1:26" s="1551" customFormat="1">
      <c r="A75" s="1551" t="s">
        <v>1212</v>
      </c>
      <c r="G75" s="1552"/>
      <c r="I75" s="1553"/>
      <c r="J75" s="1553"/>
      <c r="K75" s="1553"/>
      <c r="L75" s="1553"/>
      <c r="N75" s="1554"/>
      <c r="O75" s="1553"/>
      <c r="P75" s="1553"/>
      <c r="Q75" s="1553"/>
      <c r="S75" s="1554"/>
      <c r="T75" s="1553"/>
      <c r="U75" s="1553"/>
      <c r="V75" s="1553"/>
    </row>
    <row r="76" spans="1:26" s="1551" customFormat="1">
      <c r="A76" s="1551" t="s">
        <v>1213</v>
      </c>
      <c r="G76" s="1552"/>
      <c r="N76" s="1552"/>
      <c r="S76" s="1552"/>
    </row>
    <row r="83" spans="7:22" ht="13.5" thickBot="1"/>
    <row r="84" spans="7:22">
      <c r="G84" s="1473"/>
      <c r="S84" s="1555" t="s">
        <v>1214</v>
      </c>
      <c r="T84" s="1556" t="s">
        <v>1215</v>
      </c>
      <c r="U84" s="1556" t="s">
        <v>1216</v>
      </c>
      <c r="V84" s="1556" t="s">
        <v>1217</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6" sqref="I6:L6"/>
      <selection pane="bottomLeft" activeCell="I6" sqref="I6:L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2962</v>
      </c>
      <c r="C1" s="3282" t="s">
        <v>2963</v>
      </c>
      <c r="D1" s="3283"/>
      <c r="E1" s="3283"/>
      <c r="F1" s="3283"/>
      <c r="G1" s="3283"/>
      <c r="H1" s="3283"/>
      <c r="I1" s="3283"/>
      <c r="J1" s="3283"/>
      <c r="K1" s="3283"/>
      <c r="L1" s="3283"/>
      <c r="M1" s="3283"/>
      <c r="N1" s="3283"/>
      <c r="O1" s="3283"/>
      <c r="P1" s="3283"/>
      <c r="Q1" s="3283"/>
      <c r="R1" s="3283"/>
      <c r="S1" s="3284"/>
      <c r="T1" s="1206" t="s">
        <v>2964</v>
      </c>
    </row>
    <row r="2" spans="1:45" s="707" customFormat="1">
      <c r="A2" s="1207"/>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2966</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2967</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2968</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2969</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2970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2972</v>
      </c>
      <c r="B17" s="2917" t="s">
        <v>2973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2974</v>
      </c>
      <c r="E19" s="1794"/>
      <c r="F19" s="1794"/>
      <c r="G19" s="1794"/>
      <c r="H19" s="1282"/>
      <c r="I19" s="168"/>
      <c r="J19" s="168"/>
      <c r="K19" s="168"/>
      <c r="L19" s="168"/>
      <c r="M19" s="168"/>
      <c r="N19" s="168"/>
      <c r="O19" s="168"/>
      <c r="P19" s="168"/>
      <c r="Q19" s="168"/>
      <c r="R19" s="788"/>
      <c r="S19" s="138"/>
    </row>
    <row r="20" spans="1:45" ht="16.5" thickBot="1">
      <c r="A20" s="715" t="s">
        <v>2975</v>
      </c>
      <c r="B20" s="338" t="e">
        <f ca="1">IF(D20="——",S22,S22-F20)</f>
        <v>#REF!</v>
      </c>
      <c r="C20" s="168"/>
      <c r="D20" s="2919" t="s">
        <v>2976</v>
      </c>
      <c r="E20" s="1795"/>
      <c r="F20" s="1206" t="e">
        <f ca="1">SUMIF(INDIRECT("'"&amp;H20&amp;"'"&amp;"!A:A"),"承租人权益价值",INDIRECT("'"&amp;H20&amp;"'"&amp;"!c:c"))</f>
        <v>#REF!</v>
      </c>
      <c r="G20" s="1206" t="s">
        <v>2977</v>
      </c>
      <c r="H20" s="2920"/>
      <c r="I20" s="168"/>
      <c r="J20" s="168"/>
      <c r="K20" s="168"/>
      <c r="L20" s="168"/>
      <c r="M20" s="168"/>
      <c r="N20" s="168"/>
      <c r="O20" s="168"/>
      <c r="P20" s="168"/>
      <c r="Q20" s="168"/>
      <c r="R20" s="788"/>
      <c r="S20" s="138"/>
    </row>
    <row r="21" spans="1:45" ht="15.75">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064" t="s">
        <v>32</v>
      </c>
      <c r="D22" s="3065"/>
      <c r="E22" s="3065"/>
      <c r="F22" s="3065"/>
      <c r="G22" s="3065"/>
      <c r="H22" s="3065"/>
      <c r="I22" s="3065"/>
      <c r="J22" s="3065"/>
      <c r="K22" s="3065"/>
      <c r="L22" s="3065"/>
      <c r="M22" s="3065"/>
      <c r="N22" s="3065"/>
      <c r="O22" s="3065"/>
      <c r="P22" s="3065"/>
      <c r="Q22" s="3281"/>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3"/>
      <c r="B4" s="2967" t="s">
        <v>1629</v>
      </c>
      <c r="C4" s="2967"/>
      <c r="D4" s="2967"/>
      <c r="E4" s="1963"/>
    </row>
    <row r="5" spans="1:5" ht="16.5" thickTop="1">
      <c r="A5" s="1961"/>
      <c r="B5" s="2965" t="s">
        <v>1621</v>
      </c>
      <c r="C5" s="1964" t="s">
        <v>1622</v>
      </c>
      <c r="D5" s="1042">
        <f ca="1">结果表!H101</f>
        <v>23062</v>
      </c>
      <c r="E5" s="1961"/>
    </row>
    <row r="6" spans="1:5" ht="15.75">
      <c r="A6" s="1961"/>
      <c r="B6" s="2965"/>
      <c r="C6" s="1964" t="s">
        <v>1623</v>
      </c>
      <c r="D6" s="1042" t="str">
        <f ca="1">NUMBERSTRING(INT(D5*10000),2)&amp;"元整"</f>
        <v>贰亿叁仟零陆拾贰万元整</v>
      </c>
      <c r="E6" s="1961"/>
    </row>
    <row r="7" spans="1:5" ht="15.75">
      <c r="A7" s="1961"/>
      <c r="B7" s="2970"/>
      <c r="C7" s="1965" t="s">
        <v>1624</v>
      </c>
      <c r="D7" s="1043">
        <f ca="1">结果表!H102</f>
        <v>5122</v>
      </c>
      <c r="E7" s="1961"/>
    </row>
    <row r="8" spans="1:5" ht="15.75">
      <c r="A8" s="1961"/>
      <c r="B8" s="2971" t="str">
        <f>结果表!E103</f>
        <v>2.估价师知悉的法定优先受偿款</v>
      </c>
      <c r="C8" s="1966" t="s">
        <v>1625</v>
      </c>
      <c r="D8" s="1043">
        <f>结果表!H103</f>
        <v>0</v>
      </c>
      <c r="E8" s="1961"/>
    </row>
    <row r="9" spans="1:5" ht="15.75">
      <c r="A9" s="1961"/>
      <c r="B9" s="2973"/>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64" t="str">
        <f>结果表!E107</f>
        <v>3.房地产抵押价值</v>
      </c>
      <c r="C13" s="1969" t="s">
        <v>1622</v>
      </c>
      <c r="D13" s="1045">
        <f ca="1">结果表!H107</f>
        <v>23062</v>
      </c>
      <c r="E13" s="1961"/>
    </row>
    <row r="14" spans="1:5" ht="15.75">
      <c r="A14" s="1961"/>
      <c r="B14" s="2965"/>
      <c r="C14" s="1964" t="s">
        <v>1623</v>
      </c>
      <c r="D14" s="1042" t="str">
        <f ca="1">NUMBERSTRING(INT(D13*10000),2)&amp;"元整"</f>
        <v>贰亿叁仟零陆拾贰万元整</v>
      </c>
      <c r="E14" s="1961"/>
    </row>
    <row r="15" spans="1:5" ht="15">
      <c r="A15" s="1961"/>
      <c r="B15" s="2970"/>
      <c r="C15" s="1965" t="s">
        <v>1633</v>
      </c>
      <c r="D15" s="1054">
        <f ca="1">结果表!H108</f>
        <v>5122</v>
      </c>
      <c r="E15" s="1961"/>
    </row>
    <row r="16" spans="1:5" ht="15">
      <c r="A16" s="1961"/>
      <c r="B16" s="2971" t="str">
        <f>结果表!E109</f>
        <v>——</v>
      </c>
      <c r="C16" s="1969" t="s">
        <v>1634</v>
      </c>
      <c r="D16" s="1970" t="str">
        <f>结果表!H109</f>
        <v>——</v>
      </c>
      <c r="E16" s="1961"/>
    </row>
    <row r="17" spans="1:5" ht="15.75">
      <c r="A17" s="1961"/>
      <c r="B17" s="2972"/>
      <c r="C17" s="1964" t="s">
        <v>1635</v>
      </c>
      <c r="D17" s="1042" t="e">
        <f>NUMBERSTRING(INT(D16*10000),2)&amp;"元整"</f>
        <v>#VALUE!</v>
      </c>
      <c r="E17" s="1961"/>
    </row>
    <row r="18" spans="1:5" ht="15">
      <c r="A18" s="1961"/>
      <c r="B18" s="2973"/>
      <c r="C18" s="1965" t="s">
        <v>1624</v>
      </c>
      <c r="D18" s="1054" t="str">
        <f>结果表!H110</f>
        <v>——</v>
      </c>
      <c r="E18" s="1961"/>
    </row>
    <row r="19" spans="1:5" ht="15.75">
      <c r="A19" s="1961"/>
      <c r="B19" s="2964" t="str">
        <f>结果表!E111</f>
        <v>——</v>
      </c>
      <c r="C19" s="1969" t="s">
        <v>1622</v>
      </c>
      <c r="D19" s="1043" t="str">
        <f>结果表!H111</f>
        <v>——</v>
      </c>
      <c r="E19" s="1961"/>
    </row>
    <row r="20" spans="1:5" ht="15.75">
      <c r="A20" s="1961"/>
      <c r="B20" s="2965"/>
      <c r="C20" s="1964" t="s">
        <v>1635</v>
      </c>
      <c r="D20" s="1042" t="e">
        <f>NUMBERSTRING(INT(D19*10000),2)&amp;"元整"</f>
        <v>#VALUE!</v>
      </c>
      <c r="E20" s="1961"/>
    </row>
    <row r="21" spans="1:5" ht="15.75" thickBot="1">
      <c r="A21" s="1961"/>
      <c r="B21" s="2966"/>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35045</v>
      </c>
      <c r="C2" s="2" t="s">
        <v>132</v>
      </c>
      <c r="D2" s="243"/>
      <c r="E2" s="243"/>
      <c r="F2" s="243"/>
      <c r="G2" s="243"/>
    </row>
    <row r="3" spans="1:7" s="244" customFormat="1" ht="18" customHeight="1" thickBot="1">
      <c r="A3" s="247" t="s">
        <v>84</v>
      </c>
      <c r="B3" s="248">
        <f ca="1">ROUND(B2*10000/'数据-汇总表'!E3,0)</f>
        <v>7783</v>
      </c>
      <c r="C3" s="2" t="s">
        <v>133</v>
      </c>
      <c r="D3" s="243"/>
      <c r="E3" s="243"/>
      <c r="F3" s="243"/>
      <c r="G3" s="243"/>
    </row>
    <row r="4" spans="1:7" s="252" customFormat="1" ht="15.75">
      <c r="A4" s="249" t="s">
        <v>85</v>
      </c>
      <c r="B4" s="250"/>
      <c r="C4" s="250"/>
      <c r="D4" s="250"/>
      <c r="E4" s="250"/>
      <c r="F4" s="250"/>
      <c r="G4" s="251"/>
    </row>
    <row r="5" spans="1:7" s="258" customFormat="1" ht="13.5" customHeight="1">
      <c r="A5" s="299" t="s">
        <v>1053</v>
      </c>
      <c r="B5" s="254" t="s">
        <v>86</v>
      </c>
      <c r="C5" s="255">
        <f>C6+C7+C8</f>
        <v>20810</v>
      </c>
      <c r="D5" s="255" t="s">
        <v>87</v>
      </c>
      <c r="E5" s="256" t="s">
        <v>88</v>
      </c>
      <c r="F5" s="256" t="s">
        <v>89</v>
      </c>
      <c r="G5" s="257"/>
    </row>
    <row r="6" spans="1:7" s="258" customFormat="1" ht="13.5" customHeight="1">
      <c r="A6" s="952" t="s">
        <v>790</v>
      </c>
      <c r="B6" s="259" t="s">
        <v>90</v>
      </c>
      <c r="C6" s="260">
        <v>20000</v>
      </c>
      <c r="D6" s="261"/>
      <c r="E6" s="262"/>
      <c r="F6" s="262"/>
      <c r="G6" s="263"/>
    </row>
    <row r="7" spans="1:7" s="258" customFormat="1" ht="13.5" customHeight="1">
      <c r="A7" s="952" t="s">
        <v>791</v>
      </c>
      <c r="B7" s="259" t="s">
        <v>56</v>
      </c>
      <c r="C7" s="264">
        <f>ROUND(C6*F7,0)</f>
        <v>810</v>
      </c>
      <c r="D7" s="264"/>
      <c r="E7" s="262"/>
      <c r="F7" s="265">
        <f>'数据-取费表'!B48+'数据-取费表'!B49</f>
        <v>4.0500000000000001E-2</v>
      </c>
      <c r="G7" s="263"/>
    </row>
    <row r="8" spans="1:7" s="267" customFormat="1">
      <c r="A8" s="952" t="s">
        <v>792</v>
      </c>
      <c r="B8" s="259" t="s">
        <v>91</v>
      </c>
      <c r="C8" s="264" t="str">
        <f>IF(G8="已包含在土地购买价格中","0",'数据-取费表'!B29)</f>
        <v>0</v>
      </c>
      <c r="D8" s="266"/>
      <c r="E8" s="264"/>
      <c r="F8" s="265"/>
      <c r="G8" s="1" t="s">
        <v>1147</v>
      </c>
    </row>
    <row r="9" spans="1:7" s="258" customFormat="1" ht="13.5" customHeight="1">
      <c r="A9" s="953" t="s">
        <v>799</v>
      </c>
      <c r="B9" s="268" t="s">
        <v>92</v>
      </c>
      <c r="C9" s="269">
        <f>ROUND(D9*E9/10000,0)</f>
        <v>0</v>
      </c>
      <c r="D9" s="1035">
        <f>'数据-汇总表'!E5</f>
        <v>0</v>
      </c>
      <c r="E9" s="269">
        <f>'数据-取费表'!B27</f>
        <v>0</v>
      </c>
      <c r="F9" s="265"/>
      <c r="G9" s="270"/>
    </row>
    <row r="10" spans="1:7" s="258" customFormat="1" ht="13.5" customHeight="1">
      <c r="A10" s="953" t="s">
        <v>800</v>
      </c>
      <c r="B10" s="268" t="s">
        <v>93</v>
      </c>
      <c r="C10" s="269">
        <f>ROUND(D10*E10/10000,0)</f>
        <v>97</v>
      </c>
      <c r="D10" s="1035">
        <f>'数据-汇总表'!E6</f>
        <v>45029.380000000005</v>
      </c>
      <c r="E10" s="269">
        <f>'数据-取费表'!B28</f>
        <v>21.6</v>
      </c>
      <c r="F10" s="265"/>
      <c r="G10" s="270"/>
    </row>
    <row r="11" spans="1:7" s="258" customFormat="1" ht="13.5" hidden="1" customHeight="1">
      <c r="A11" s="271" t="s">
        <v>7</v>
      </c>
      <c r="B11" s="259" t="s">
        <v>94</v>
      </c>
      <c r="C11" s="255"/>
      <c r="D11" s="1037"/>
      <c r="E11" s="262"/>
      <c r="F11" s="262"/>
      <c r="G11" s="263"/>
    </row>
    <row r="12" spans="1:7" s="258" customFormat="1" ht="13.5" hidden="1" customHeight="1">
      <c r="A12" s="271" t="s">
        <v>8</v>
      </c>
      <c r="B12" s="259" t="s">
        <v>95</v>
      </c>
      <c r="C12" s="255">
        <v>0</v>
      </c>
      <c r="D12" s="1037"/>
      <c r="E12" s="272"/>
      <c r="F12" s="265">
        <v>3.0499999999999999E-2</v>
      </c>
      <c r="G12" s="263"/>
    </row>
    <row r="13" spans="1:7" s="258" customFormat="1" ht="13.5" hidden="1" customHeight="1">
      <c r="A13" s="271" t="s">
        <v>9</v>
      </c>
      <c r="B13" s="259" t="s">
        <v>96</v>
      </c>
      <c r="C13" s="255"/>
      <c r="D13" s="1037"/>
      <c r="E13" s="262"/>
      <c r="F13" s="262"/>
      <c r="G13" s="263"/>
    </row>
    <row r="14" spans="1:7" s="258" customFormat="1" ht="13.5" hidden="1" customHeight="1">
      <c r="A14" s="271" t="s">
        <v>10</v>
      </c>
      <c r="B14" s="259" t="s">
        <v>91</v>
      </c>
      <c r="C14" s="255"/>
      <c r="D14" s="1037"/>
      <c r="E14" s="262"/>
      <c r="F14" s="262"/>
      <c r="G14" s="263" t="s">
        <v>97</v>
      </c>
    </row>
    <row r="15" spans="1:7" s="258" customFormat="1" ht="13.5" hidden="1" customHeight="1">
      <c r="A15" s="271" t="s">
        <v>11</v>
      </c>
      <c r="B15" s="259" t="s">
        <v>98</v>
      </c>
      <c r="C15" s="264"/>
      <c r="D15" s="1037"/>
      <c r="E15" s="262"/>
      <c r="F15" s="262"/>
      <c r="G15" s="263" t="s">
        <v>99</v>
      </c>
    </row>
    <row r="16" spans="1:7" s="258" customFormat="1" ht="13.5" hidden="1" customHeight="1">
      <c r="A16" s="271" t="s">
        <v>12</v>
      </c>
      <c r="B16" s="259" t="s">
        <v>91</v>
      </c>
      <c r="C16" s="264"/>
      <c r="D16" s="1037"/>
      <c r="E16" s="262"/>
      <c r="F16" s="262"/>
      <c r="G16" s="263"/>
    </row>
    <row r="17" spans="1:7" s="258" customFormat="1" ht="13.5" hidden="1" customHeight="1">
      <c r="A17" s="271" t="s">
        <v>13</v>
      </c>
      <c r="B17" s="259" t="s">
        <v>100</v>
      </c>
      <c r="C17" s="273"/>
      <c r="D17" s="1038"/>
      <c r="E17" s="273"/>
      <c r="F17" s="273"/>
      <c r="G17" s="263" t="s">
        <v>99</v>
      </c>
    </row>
    <row r="18" spans="1:7" s="258" customFormat="1" ht="13.5" hidden="1" customHeight="1">
      <c r="A18" s="271" t="s">
        <v>14</v>
      </c>
      <c r="B18" s="259" t="s">
        <v>101</v>
      </c>
      <c r="C18" s="264">
        <v>0</v>
      </c>
      <c r="D18" s="1037"/>
      <c r="E18" s="262"/>
      <c r="F18" s="265">
        <v>3.0499999999999999E-2</v>
      </c>
      <c r="G18" s="263" t="s">
        <v>102</v>
      </c>
    </row>
    <row r="19" spans="1:7" s="267" customFormat="1" ht="13.5" customHeight="1">
      <c r="A19" s="951" t="s">
        <v>1054</v>
      </c>
      <c r="B19" s="254" t="s">
        <v>110</v>
      </c>
      <c r="C19" s="255">
        <f>IF(G19="已包含在土地取得成本中","0",ROUND(D19*E19/10000,0))</f>
        <v>675</v>
      </c>
      <c r="D19" s="1039">
        <f>'数据-汇总表'!E3</f>
        <v>45029.380000000005</v>
      </c>
      <c r="E19" s="255">
        <f>'数据-取费表'!B31</f>
        <v>150</v>
      </c>
      <c r="F19" s="275"/>
      <c r="G19" s="1" t="s">
        <v>1073</v>
      </c>
    </row>
    <row r="20" spans="1:7" s="258" customFormat="1" ht="13.5" customHeight="1">
      <c r="A20" s="951" t="s">
        <v>1056</v>
      </c>
      <c r="B20" s="254" t="s">
        <v>103</v>
      </c>
      <c r="C20" s="276">
        <f>ROUND((C5+C19)*F20,0)</f>
        <v>215</v>
      </c>
      <c r="D20" s="276"/>
      <c r="E20" s="276"/>
      <c r="F20" s="277">
        <f>'数据-取费表'!B37</f>
        <v>0.01</v>
      </c>
      <c r="G20" s="1291" t="s">
        <v>1067</v>
      </c>
    </row>
    <row r="21" spans="1:7" s="258" customFormat="1" ht="13.5" customHeight="1">
      <c r="A21" s="951" t="s">
        <v>1058</v>
      </c>
      <c r="B21" s="254" t="s">
        <v>104</v>
      </c>
      <c r="C21" s="279">
        <f>F21</f>
        <v>0.01</v>
      </c>
      <c r="D21" s="280" t="s">
        <v>125</v>
      </c>
      <c r="E21" s="276"/>
      <c r="F21" s="277">
        <f>'数据-取费表'!B38</f>
        <v>0.01</v>
      </c>
      <c r="G21" s="278" t="s">
        <v>105</v>
      </c>
    </row>
    <row r="22" spans="1:7" s="258" customFormat="1" ht="13.5" customHeight="1">
      <c r="A22" s="951" t="s">
        <v>785</v>
      </c>
      <c r="B22" s="254" t="s">
        <v>106</v>
      </c>
      <c r="C22" s="1356">
        <f ca="1">ROUND(SUM(C23:C25),0)</f>
        <v>939</v>
      </c>
      <c r="D22" s="279">
        <f ca="1">C26</f>
        <v>2.0000000000000001E-4</v>
      </c>
      <c r="E22" s="280" t="s">
        <v>125</v>
      </c>
      <c r="F22" s="281">
        <f ca="1">'数据-取费表'!B40</f>
        <v>4.3499999999999997E-2</v>
      </c>
      <c r="G22" s="1291" t="str">
        <f>IF('数据-取费表'!B22&lt;=1,"单利计息","复利计息")</f>
        <v>单利计息</v>
      </c>
    </row>
    <row r="23" spans="1:7" s="258" customFormat="1" ht="13.5" customHeight="1">
      <c r="A23" s="954" t="s">
        <v>793</v>
      </c>
      <c r="B23" s="259" t="s">
        <v>1060</v>
      </c>
      <c r="C23" s="1357">
        <f ca="1">ROUND(IF('数据-取费表'!B22&lt;=1,C5*F22*'数据-取费表'!B23,C5*(POWER((1+F22),'数据-取费表'!B23)-1)),0)</f>
        <v>905</v>
      </c>
      <c r="D23" s="282"/>
      <c r="E23" s="282"/>
      <c r="F23" s="283"/>
      <c r="G23" s="284" t="s">
        <v>107</v>
      </c>
    </row>
    <row r="24" spans="1:7" s="258" customFormat="1" ht="13.5" customHeight="1">
      <c r="A24" s="954" t="s">
        <v>791</v>
      </c>
      <c r="B24" s="259" t="s">
        <v>1055</v>
      </c>
      <c r="C24" s="1357">
        <f ca="1">ROUND(IF('数据-取费表'!B22&lt;=1,C19*F22*('数据-取费表'!B19/2+'数据-取费表'!B21),C19*(POWER((1+F22),('数据-取费表'!B19/2+'数据-取费表'!B21))-1)),0)</f>
        <v>29</v>
      </c>
      <c r="D24" s="282"/>
      <c r="E24" s="282"/>
      <c r="F24" s="283"/>
      <c r="G24" s="284" t="s">
        <v>108</v>
      </c>
    </row>
    <row r="25" spans="1:7" s="258" customFormat="1" ht="24">
      <c r="A25" s="954" t="s">
        <v>792</v>
      </c>
      <c r="B25" s="259" t="s">
        <v>1057</v>
      </c>
      <c r="C25" s="1357">
        <f ca="1">ROUND(IF('数据-取费表'!B22&lt;=1,C20*F22*'数据-取费表'!B23/2,C20*(POWER((1+F22),'数据-取费表'!B23/2)-1)),0)</f>
        <v>5</v>
      </c>
      <c r="D25" s="282"/>
      <c r="E25" s="285"/>
      <c r="F25" s="283"/>
      <c r="G25" s="286" t="s">
        <v>109</v>
      </c>
    </row>
    <row r="26" spans="1:7" s="258" customFormat="1">
      <c r="A26" s="954" t="s">
        <v>794</v>
      </c>
      <c r="B26" s="259" t="s">
        <v>1059</v>
      </c>
      <c r="C26" s="282">
        <f ca="1">ROUND(IF('数据-取费表'!B22&lt;=1,F21*F22*'数据-取费表'!B23/2,F21*(POWER((1+F22),'数据-取费表'!B23/2)-1)),4)</f>
        <v>2.0000000000000001E-4</v>
      </c>
      <c r="D26" s="282"/>
      <c r="E26" s="285"/>
      <c r="F26" s="283"/>
      <c r="G26" s="287"/>
    </row>
    <row r="27" spans="1:7" s="258" customFormat="1" ht="24.75">
      <c r="A27" s="951" t="s">
        <v>786</v>
      </c>
      <c r="B27" s="288" t="s">
        <v>111</v>
      </c>
      <c r="C27" s="289">
        <f>C28</f>
        <v>2170</v>
      </c>
      <c r="D27" s="279">
        <f>C29</f>
        <v>1E-3</v>
      </c>
      <c r="E27" s="280" t="s">
        <v>125</v>
      </c>
      <c r="F27" s="290">
        <f>'数据-取费表'!Q16</f>
        <v>0.1</v>
      </c>
      <c r="G27" s="291" t="s">
        <v>1068</v>
      </c>
    </row>
    <row r="28" spans="1:7" s="258" customFormat="1" ht="13.5" customHeight="1">
      <c r="A28" s="954" t="s">
        <v>793</v>
      </c>
      <c r="B28" s="292" t="s">
        <v>1061</v>
      </c>
      <c r="C28" s="293">
        <f>ROUND((C5+C19+C20)*F27*'数据-取费表'!B21/'数据-取费表'!B20,0)</f>
        <v>2170</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26520</v>
      </c>
      <c r="D31" s="274"/>
      <c r="E31" s="255"/>
      <c r="F31" s="294"/>
      <c r="G31" s="278" t="s">
        <v>1069</v>
      </c>
    </row>
    <row r="32" spans="1:7" s="252" customFormat="1" ht="15.75">
      <c r="A32" s="296" t="s">
        <v>113</v>
      </c>
      <c r="B32" s="297"/>
      <c r="C32" s="297"/>
      <c r="D32" s="297"/>
      <c r="E32" s="297"/>
      <c r="F32" s="297"/>
      <c r="G32" s="298"/>
    </row>
    <row r="33" spans="1:7" s="258" customFormat="1" ht="13.5" customHeight="1">
      <c r="A33" s="299" t="s">
        <v>781</v>
      </c>
      <c r="B33" s="254" t="s">
        <v>114</v>
      </c>
      <c r="C33" s="300">
        <f>SUM(C34:C38)</f>
        <v>8204</v>
      </c>
      <c r="D33" s="276"/>
      <c r="E33" s="256"/>
      <c r="F33" s="285"/>
      <c r="G33" s="278"/>
    </row>
    <row r="34" spans="1:7" s="302" customFormat="1" ht="13.5" customHeight="1">
      <c r="A34" s="954" t="s">
        <v>793</v>
      </c>
      <c r="B34" s="259" t="s">
        <v>58</v>
      </c>
      <c r="C34" s="264">
        <f>IF(F34=100%,'数据-取费表'!M16-SUMIF('数据-取费表'!C:C,"公共配套",'数据-取费表'!M:M),'数据-取费表'!O16-SUMIF('数据-取费表'!C:C,"公共配套",'数据-取费表'!O:O))</f>
        <v>7205</v>
      </c>
      <c r="D34" s="261"/>
      <c r="E34" s="264"/>
      <c r="F34" s="301">
        <f>IF('数据-取费表'!B24=0,1,'数据-取费表'!N16)</f>
        <v>1</v>
      </c>
      <c r="G34" s="263" t="s">
        <v>115</v>
      </c>
    </row>
    <row r="35" spans="1:7" ht="13.5" customHeight="1">
      <c r="A35" s="954" t="s">
        <v>795</v>
      </c>
      <c r="B35" s="259" t="s">
        <v>59</v>
      </c>
      <c r="C35" s="264">
        <f>ROUND(C34*F35,0)</f>
        <v>216</v>
      </c>
      <c r="D35" s="264"/>
      <c r="E35" s="264"/>
      <c r="F35" s="303">
        <f>'数据-取费表'!B33</f>
        <v>0.03</v>
      </c>
      <c r="G35" s="263" t="s">
        <v>116</v>
      </c>
    </row>
    <row r="36" spans="1:7" ht="24">
      <c r="A36" s="954" t="s">
        <v>796</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4" t="s">
        <v>797</v>
      </c>
      <c r="B37" s="259" t="s">
        <v>117</v>
      </c>
      <c r="C37" s="293">
        <f>ROUND(E37*D37*F34/10000,0)</f>
        <v>675</v>
      </c>
      <c r="D37" s="261">
        <f>'数据-汇总表'!E3</f>
        <v>45029.380000000005</v>
      </c>
      <c r="E37" s="293">
        <f>'数据-取费表'!B35</f>
        <v>150</v>
      </c>
      <c r="F37" s="303"/>
      <c r="G37" s="305" t="s">
        <v>118</v>
      </c>
    </row>
    <row r="38" spans="1:7" ht="13.5" customHeight="1">
      <c r="A38" s="954" t="s">
        <v>798</v>
      </c>
      <c r="B38" s="259" t="s">
        <v>62</v>
      </c>
      <c r="C38" s="264">
        <f>ROUND(C34*F38,0)</f>
        <v>108</v>
      </c>
      <c r="D38" s="264"/>
      <c r="E38" s="264"/>
      <c r="F38" s="303">
        <f>'数据-取费表'!B36</f>
        <v>1.4999999999999999E-2</v>
      </c>
      <c r="G38" s="263" t="s">
        <v>116</v>
      </c>
    </row>
    <row r="39" spans="1:7" s="258" customFormat="1" ht="13.5" customHeight="1">
      <c r="A39" s="951" t="s">
        <v>782</v>
      </c>
      <c r="B39" s="254" t="s">
        <v>103</v>
      </c>
      <c r="C39" s="276">
        <f>ROUND(C33*F20,0)</f>
        <v>82</v>
      </c>
      <c r="D39" s="276"/>
      <c r="E39" s="276"/>
      <c r="F39" s="277"/>
      <c r="G39" s="1291" t="s">
        <v>1070</v>
      </c>
    </row>
    <row r="40" spans="1:7" s="258" customFormat="1" ht="13.5" customHeight="1">
      <c r="A40" s="951" t="s">
        <v>783</v>
      </c>
      <c r="B40" s="254" t="s">
        <v>104</v>
      </c>
      <c r="C40" s="306">
        <f>F21</f>
        <v>0.01</v>
      </c>
      <c r="D40" s="280" t="s">
        <v>128</v>
      </c>
      <c r="E40" s="276"/>
      <c r="F40" s="277"/>
      <c r="G40" s="278" t="s">
        <v>119</v>
      </c>
    </row>
    <row r="41" spans="1:7" s="258" customFormat="1" ht="13.5" customHeight="1">
      <c r="A41" s="951" t="s">
        <v>784</v>
      </c>
      <c r="B41" s="254" t="s">
        <v>106</v>
      </c>
      <c r="C41" s="276">
        <f ca="1">ROUND(SUM(C42:C43),0)</f>
        <v>180</v>
      </c>
      <c r="D41" s="279">
        <f ca="1">C44</f>
        <v>2.0000000000000001E-4</v>
      </c>
      <c r="E41" s="280" t="s">
        <v>128</v>
      </c>
      <c r="F41" s="281"/>
      <c r="G41" s="1291" t="str">
        <f>IF('数据-取费表'!B22&lt;=1,"单利计息","复利计息")</f>
        <v>单利计息</v>
      </c>
    </row>
    <row r="42" spans="1:7" ht="13.5" customHeight="1">
      <c r="A42" s="954" t="s">
        <v>793</v>
      </c>
      <c r="B42" s="259" t="s">
        <v>1060</v>
      </c>
      <c r="C42" s="282">
        <f ca="1">ROUND(IF('数据-取费表'!B22&lt;=1,C33*F22*'数据-取费表'!B21/2,C33*(POWER((1+F22),'数据-取费表'!B21/2)-1)),0)</f>
        <v>178</v>
      </c>
      <c r="D42" s="282"/>
      <c r="E42" s="282"/>
      <c r="F42" s="283"/>
      <c r="G42" s="3193" t="s">
        <v>120</v>
      </c>
    </row>
    <row r="43" spans="1:7" ht="13.5" customHeight="1">
      <c r="A43" s="954" t="s">
        <v>791</v>
      </c>
      <c r="B43" s="259" t="s">
        <v>1063</v>
      </c>
      <c r="C43" s="282">
        <f ca="1">ROUND(IF('数据-取费表'!B22&lt;=1,C39*F22*'数据-取费表'!B21/2,C39*(POWER((1+F22),'数据-取费表'!B21/2)-1)),0)</f>
        <v>2</v>
      </c>
      <c r="D43" s="282"/>
      <c r="E43" s="282"/>
      <c r="F43" s="283"/>
      <c r="G43" s="3194"/>
    </row>
    <row r="44" spans="1:7" ht="13.5" customHeight="1">
      <c r="A44" s="954" t="s">
        <v>792</v>
      </c>
      <c r="B44" s="259" t="s">
        <v>1065</v>
      </c>
      <c r="C44" s="282">
        <f ca="1">ROUND(IF('数据-取费表'!B22&lt;=1,C40*F22*'数据-取费表'!B21/2,C40*(POWER((1+F22),'数据-取费表'!B21/2)-1)),4)</f>
        <v>2.0000000000000001E-4</v>
      </c>
      <c r="D44" s="282"/>
      <c r="E44" s="282"/>
      <c r="F44" s="283"/>
      <c r="G44" s="3195"/>
    </row>
    <row r="45" spans="1:7" s="258" customFormat="1" ht="13.5" customHeight="1">
      <c r="A45" s="951" t="s">
        <v>785</v>
      </c>
      <c r="B45" s="288" t="s">
        <v>111</v>
      </c>
      <c r="C45" s="289">
        <f>C46</f>
        <v>829</v>
      </c>
      <c r="D45" s="279">
        <f>C47</f>
        <v>1E-3</v>
      </c>
      <c r="E45" s="280" t="s">
        <v>128</v>
      </c>
      <c r="F45" s="290"/>
      <c r="G45" s="291" t="s">
        <v>1071</v>
      </c>
    </row>
    <row r="46" spans="1:7" s="258" customFormat="1" ht="13.5" customHeight="1">
      <c r="A46" s="954" t="s">
        <v>793</v>
      </c>
      <c r="B46" s="292" t="s">
        <v>1064</v>
      </c>
      <c r="C46" s="293">
        <f>ROUND((C33+C39)*F27,0)</f>
        <v>829</v>
      </c>
      <c r="D46" s="307"/>
      <c r="E46" s="280"/>
      <c r="F46" s="290"/>
      <c r="G46" s="291"/>
    </row>
    <row r="47" spans="1:7" s="258" customFormat="1" ht="13.5" customHeight="1">
      <c r="A47" s="954" t="s">
        <v>791</v>
      </c>
      <c r="B47" s="292" t="s">
        <v>1066</v>
      </c>
      <c r="C47" s="282">
        <f>ROUND(C40*F27,4)</f>
        <v>1E-3</v>
      </c>
      <c r="D47" s="307"/>
      <c r="E47" s="280"/>
      <c r="F47" s="290"/>
      <c r="G47" s="291"/>
    </row>
    <row r="48" spans="1:7" s="258" customFormat="1" ht="13.5" customHeight="1">
      <c r="A48" s="951" t="s">
        <v>786</v>
      </c>
      <c r="B48" s="254" t="s">
        <v>121</v>
      </c>
      <c r="C48" s="306">
        <f>F30</f>
        <v>5.6000000000000001E-2</v>
      </c>
      <c r="D48" s="280" t="s">
        <v>129</v>
      </c>
      <c r="E48" s="276"/>
      <c r="F48" s="281"/>
      <c r="G48" s="278" t="s">
        <v>122</v>
      </c>
    </row>
    <row r="49" spans="1:7" ht="16.5" customHeight="1">
      <c r="A49" s="951" t="s">
        <v>787</v>
      </c>
      <c r="B49" s="254" t="s">
        <v>130</v>
      </c>
      <c r="C49" s="276">
        <f ca="1">ROUND((C33+C39+C41+C45)/(1-C40-D41-D45-C48/(1+'数据-取费表'!B42)),0)</f>
        <v>9936</v>
      </c>
      <c r="D49" s="276"/>
      <c r="E49" s="276"/>
      <c r="F49" s="308"/>
      <c r="G49" s="278" t="s">
        <v>1072</v>
      </c>
    </row>
    <row r="50" spans="1:7" s="302" customFormat="1" ht="24">
      <c r="A50" s="951" t="s">
        <v>788</v>
      </c>
      <c r="B50" s="254" t="s">
        <v>123</v>
      </c>
      <c r="C50" s="276"/>
      <c r="D50" s="276"/>
      <c r="E50" s="276"/>
      <c r="F50" s="308">
        <f>IF('数据-取费表'!B24=0,'数据-取费表'!N16,1)</f>
        <v>0.85799999999999998</v>
      </c>
      <c r="G50" s="291" t="s">
        <v>124</v>
      </c>
    </row>
    <row r="51" spans="1:7" ht="16.5" customHeight="1">
      <c r="A51" s="951" t="s">
        <v>789</v>
      </c>
      <c r="B51" s="254" t="s">
        <v>131</v>
      </c>
      <c r="C51" s="276">
        <f ca="1">ROUND(C49*F50,0)</f>
        <v>8525</v>
      </c>
      <c r="D51" s="276"/>
      <c r="E51" s="276"/>
      <c r="F51" s="308"/>
      <c r="G51" s="278" t="s">
        <v>63</v>
      </c>
    </row>
    <row r="52" spans="1:7" s="252" customFormat="1" ht="16.5" thickBot="1">
      <c r="A52" s="309" t="s">
        <v>64</v>
      </c>
      <c r="B52" s="310"/>
      <c r="C52" s="311">
        <f ca="1">C31+C51</f>
        <v>35045</v>
      </c>
      <c r="D52" s="310"/>
      <c r="E52" s="310"/>
      <c r="F52" s="310"/>
      <c r="G52" s="312"/>
    </row>
    <row r="55" spans="1:7" ht="15">
      <c r="B55" s="314" t="s">
        <v>65</v>
      </c>
      <c r="C55" s="315"/>
    </row>
    <row r="56" spans="1:7">
      <c r="B56" s="317" t="s">
        <v>66</v>
      </c>
      <c r="C56" s="318">
        <f ca="1">ROUND(C51/C52,3)</f>
        <v>0.24299999999999999</v>
      </c>
    </row>
    <row r="57" spans="1:7">
      <c r="B57" s="317" t="s">
        <v>67</v>
      </c>
      <c r="C57" s="319">
        <f ca="1">1-C56</f>
        <v>0.75700000000000001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5" t="s">
        <v>155</v>
      </c>
      <c r="B1" s="3285"/>
      <c r="C1" s="3285"/>
      <c r="D1" s="3285"/>
      <c r="E1" s="3285"/>
      <c r="F1" s="3285"/>
      <c r="H1" s="830" t="s">
        <v>156</v>
      </c>
      <c r="I1" s="831" t="s">
        <v>157</v>
      </c>
      <c r="J1" s="831" t="s">
        <v>158</v>
      </c>
      <c r="K1" s="831" t="s">
        <v>159</v>
      </c>
      <c r="L1" s="831" t="s">
        <v>160</v>
      </c>
      <c r="M1" s="831" t="s">
        <v>161</v>
      </c>
      <c r="N1" s="831" t="s">
        <v>162</v>
      </c>
      <c r="O1" s="831" t="s">
        <v>163</v>
      </c>
      <c r="P1" s="831" t="s">
        <v>164</v>
      </c>
      <c r="Q1" s="831" t="s">
        <v>165</v>
      </c>
      <c r="R1" s="831" t="s">
        <v>166</v>
      </c>
      <c r="S1" s="832" t="s">
        <v>167</v>
      </c>
    </row>
    <row r="2" spans="1:19" ht="14.25" thickBot="1">
      <c r="A2" s="3286" t="s">
        <v>168</v>
      </c>
      <c r="B2" s="3286"/>
      <c r="C2" s="3286"/>
      <c r="D2" s="3286"/>
      <c r="E2" s="3286"/>
      <c r="F2" s="3286"/>
      <c r="H2" s="833" t="s">
        <v>169</v>
      </c>
      <c r="I2" s="834" t="s">
        <v>170</v>
      </c>
      <c r="J2" s="834" t="s">
        <v>171</v>
      </c>
      <c r="K2" s="834" t="s">
        <v>172</v>
      </c>
      <c r="L2" s="834" t="s">
        <v>173</v>
      </c>
      <c r="M2" s="834" t="s">
        <v>174</v>
      </c>
      <c r="N2" s="834" t="s">
        <v>175</v>
      </c>
      <c r="O2" s="834" t="s">
        <v>176</v>
      </c>
      <c r="P2" s="834" t="s">
        <v>177</v>
      </c>
      <c r="Q2" s="834" t="s">
        <v>178</v>
      </c>
      <c r="R2" s="834" t="s">
        <v>179</v>
      </c>
      <c r="S2" s="834" t="s">
        <v>180</v>
      </c>
    </row>
    <row r="3" spans="1:19" s="829" customFormat="1" ht="19.5" customHeight="1">
      <c r="A3" s="3287" t="s">
        <v>181</v>
      </c>
      <c r="B3" s="835"/>
      <c r="C3" s="836" t="s">
        <v>182</v>
      </c>
      <c r="D3" s="836" t="s">
        <v>183</v>
      </c>
      <c r="E3" s="836" t="s">
        <v>750</v>
      </c>
      <c r="F3" s="836" t="s">
        <v>185</v>
      </c>
      <c r="G3" s="837"/>
      <c r="H3" s="833" t="s">
        <v>186</v>
      </c>
      <c r="I3" s="834" t="s">
        <v>187</v>
      </c>
      <c r="J3" s="834" t="s">
        <v>188</v>
      </c>
      <c r="K3" s="834" t="s">
        <v>189</v>
      </c>
      <c r="L3" s="834" t="s">
        <v>190</v>
      </c>
      <c r="M3" s="834" t="s">
        <v>191</v>
      </c>
      <c r="N3" s="834" t="s">
        <v>192</v>
      </c>
      <c r="O3" s="834" t="s">
        <v>193</v>
      </c>
      <c r="P3" s="834" t="s">
        <v>194</v>
      </c>
      <c r="Q3" s="834" t="s">
        <v>195</v>
      </c>
      <c r="R3" s="834" t="s">
        <v>196</v>
      </c>
      <c r="S3" s="834" t="s">
        <v>197</v>
      </c>
    </row>
    <row r="4" spans="1:19" s="829" customFormat="1" ht="19.5" customHeight="1" thickBot="1">
      <c r="A4" s="3288"/>
      <c r="B4" s="838" t="s">
        <v>198</v>
      </c>
      <c r="C4" s="838" t="s">
        <v>199</v>
      </c>
      <c r="D4" s="838" t="s">
        <v>199</v>
      </c>
      <c r="E4" s="838" t="s">
        <v>199</v>
      </c>
      <c r="F4" s="839" t="s">
        <v>199</v>
      </c>
      <c r="G4" s="837"/>
      <c r="H4" s="833" t="s">
        <v>200</v>
      </c>
      <c r="I4" s="834" t="s">
        <v>137</v>
      </c>
      <c r="J4" s="834" t="s">
        <v>201</v>
      </c>
      <c r="K4" s="834" t="s">
        <v>202</v>
      </c>
      <c r="L4" s="834" t="s">
        <v>203</v>
      </c>
      <c r="M4" s="834" t="s">
        <v>204</v>
      </c>
      <c r="N4" s="834" t="s">
        <v>205</v>
      </c>
      <c r="O4" s="834" t="s">
        <v>206</v>
      </c>
      <c r="P4" s="834" t="s">
        <v>207</v>
      </c>
      <c r="Q4" s="834" t="s">
        <v>208</v>
      </c>
      <c r="R4" s="834" t="s">
        <v>209</v>
      </c>
      <c r="S4" s="834" t="s">
        <v>210</v>
      </c>
    </row>
    <row r="5" spans="1:19" ht="14.25" customHeight="1" thickBot="1">
      <c r="A5" s="840" t="s">
        <v>815</v>
      </c>
      <c r="B5" s="841" t="s">
        <v>816</v>
      </c>
      <c r="C5" s="841">
        <v>29530</v>
      </c>
      <c r="D5" s="841">
        <v>28130</v>
      </c>
      <c r="E5" s="841">
        <v>27930</v>
      </c>
      <c r="F5" s="842">
        <v>11300</v>
      </c>
      <c r="G5" s="837"/>
      <c r="H5" s="833" t="s">
        <v>212</v>
      </c>
      <c r="I5" s="834" t="s">
        <v>213</v>
      </c>
      <c r="J5" s="834" t="s">
        <v>214</v>
      </c>
      <c r="K5" s="834" t="s">
        <v>215</v>
      </c>
      <c r="L5" s="834" t="s">
        <v>216</v>
      </c>
      <c r="M5" s="834" t="s">
        <v>217</v>
      </c>
      <c r="N5" s="834" t="s">
        <v>218</v>
      </c>
      <c r="O5" s="834" t="s">
        <v>219</v>
      </c>
      <c r="P5" s="834" t="s">
        <v>220</v>
      </c>
      <c r="Q5" s="834" t="s">
        <v>221</v>
      </c>
      <c r="R5" s="834" t="s">
        <v>222</v>
      </c>
      <c r="S5" s="834" t="s">
        <v>223</v>
      </c>
    </row>
    <row r="6" spans="1:19" ht="14.25" customHeight="1" thickBot="1">
      <c r="A6" s="840" t="s">
        <v>211</v>
      </c>
      <c r="B6" s="834" t="s">
        <v>186</v>
      </c>
      <c r="C6" s="834">
        <v>30290</v>
      </c>
      <c r="D6" s="834">
        <v>29210</v>
      </c>
      <c r="E6" s="834">
        <v>28860</v>
      </c>
      <c r="F6" s="843">
        <v>12600</v>
      </c>
      <c r="G6" s="837"/>
      <c r="H6" s="833" t="s">
        <v>224</v>
      </c>
      <c r="I6" s="834" t="s">
        <v>225</v>
      </c>
      <c r="J6" s="834" t="s">
        <v>226</v>
      </c>
      <c r="K6" s="834" t="s">
        <v>227</v>
      </c>
      <c r="L6" s="834" t="s">
        <v>228</v>
      </c>
      <c r="M6" s="834" t="s">
        <v>229</v>
      </c>
      <c r="N6" s="834" t="s">
        <v>230</v>
      </c>
      <c r="O6" s="834" t="s">
        <v>231</v>
      </c>
      <c r="P6" s="834" t="s">
        <v>232</v>
      </c>
      <c r="Q6" s="834" t="s">
        <v>233</v>
      </c>
      <c r="R6" s="834" t="s">
        <v>234</v>
      </c>
      <c r="S6" s="834" t="s">
        <v>235</v>
      </c>
    </row>
    <row r="7" spans="1:19" ht="14.25" customHeight="1" thickBot="1">
      <c r="A7" s="840" t="s">
        <v>211</v>
      </c>
      <c r="B7" s="844" t="s">
        <v>200</v>
      </c>
      <c r="C7" s="834">
        <v>29350</v>
      </c>
      <c r="D7" s="834">
        <v>28410</v>
      </c>
      <c r="E7" s="834">
        <v>27990</v>
      </c>
      <c r="F7" s="843">
        <v>12300</v>
      </c>
      <c r="G7" s="837"/>
      <c r="I7" s="834" t="s">
        <v>236</v>
      </c>
      <c r="J7" s="834" t="s">
        <v>237</v>
      </c>
      <c r="K7" s="834" t="s">
        <v>238</v>
      </c>
      <c r="L7" s="834" t="s">
        <v>239</v>
      </c>
      <c r="M7" s="834" t="s">
        <v>240</v>
      </c>
      <c r="N7" s="834" t="s">
        <v>241</v>
      </c>
      <c r="O7" s="834" t="s">
        <v>242</v>
      </c>
      <c r="P7" s="834" t="s">
        <v>243</v>
      </c>
      <c r="Q7" s="834" t="s">
        <v>244</v>
      </c>
      <c r="R7" s="834" t="s">
        <v>245</v>
      </c>
      <c r="S7" s="844" t="s">
        <v>246</v>
      </c>
    </row>
    <row r="8" spans="1:19" ht="14.25" customHeight="1" thickBot="1">
      <c r="A8" s="840" t="s">
        <v>211</v>
      </c>
      <c r="B8" s="834" t="s">
        <v>212</v>
      </c>
      <c r="C8" s="834">
        <v>30890</v>
      </c>
      <c r="D8" s="834">
        <v>29780</v>
      </c>
      <c r="E8" s="834">
        <v>29270</v>
      </c>
      <c r="F8" s="843">
        <v>11600</v>
      </c>
      <c r="G8" s="837"/>
      <c r="I8" s="834" t="s">
        <v>247</v>
      </c>
      <c r="J8" s="834" t="s">
        <v>248</v>
      </c>
      <c r="K8" s="834" t="s">
        <v>249</v>
      </c>
      <c r="L8" s="834" t="s">
        <v>250</v>
      </c>
      <c r="M8" s="834" t="s">
        <v>251</v>
      </c>
      <c r="N8" s="834" t="s">
        <v>252</v>
      </c>
      <c r="O8" s="834" t="s">
        <v>253</v>
      </c>
      <c r="P8" s="834" t="s">
        <v>254</v>
      </c>
      <c r="Q8" s="834" t="s">
        <v>255</v>
      </c>
      <c r="R8" s="834" t="s">
        <v>256</v>
      </c>
      <c r="S8" s="834" t="s">
        <v>257</v>
      </c>
    </row>
    <row r="9" spans="1:19" ht="14.25" customHeight="1" thickBot="1">
      <c r="A9" s="840" t="s">
        <v>211</v>
      </c>
      <c r="B9" s="845" t="s">
        <v>224</v>
      </c>
      <c r="C9" s="846">
        <v>28140</v>
      </c>
      <c r="D9" s="846"/>
      <c r="E9" s="846"/>
      <c r="F9" s="847"/>
      <c r="G9" s="837"/>
      <c r="I9" s="834" t="s">
        <v>258</v>
      </c>
      <c r="J9" s="834" t="s">
        <v>259</v>
      </c>
      <c r="K9" s="834" t="s">
        <v>260</v>
      </c>
      <c r="L9" s="834" t="s">
        <v>261</v>
      </c>
      <c r="M9" s="834" t="s">
        <v>262</v>
      </c>
      <c r="N9" s="834" t="s">
        <v>263</v>
      </c>
      <c r="O9" s="834" t="s">
        <v>264</v>
      </c>
      <c r="P9" s="834" t="s">
        <v>265</v>
      </c>
      <c r="Q9" s="834" t="s">
        <v>266</v>
      </c>
      <c r="R9" s="834" t="s">
        <v>267</v>
      </c>
    </row>
    <row r="10" spans="1:19" ht="14.25" customHeight="1" thickBot="1">
      <c r="A10" s="840" t="s">
        <v>268</v>
      </c>
      <c r="B10" s="841" t="s">
        <v>269</v>
      </c>
      <c r="C10" s="841">
        <v>27450</v>
      </c>
      <c r="D10" s="841">
        <v>26180</v>
      </c>
      <c r="E10" s="841">
        <v>25980</v>
      </c>
      <c r="F10" s="842">
        <v>8910</v>
      </c>
      <c r="G10" s="837"/>
      <c r="I10" s="834" t="s">
        <v>270</v>
      </c>
      <c r="J10" s="834" t="s">
        <v>271</v>
      </c>
      <c r="K10" s="834" t="s">
        <v>272</v>
      </c>
      <c r="L10" s="834" t="s">
        <v>273</v>
      </c>
      <c r="M10" s="834" t="s">
        <v>274</v>
      </c>
      <c r="N10" s="834" t="s">
        <v>275</v>
      </c>
      <c r="O10" s="834" t="s">
        <v>276</v>
      </c>
      <c r="P10" s="834" t="s">
        <v>277</v>
      </c>
      <c r="Q10" s="834" t="s">
        <v>278</v>
      </c>
      <c r="R10" s="834" t="s">
        <v>279</v>
      </c>
    </row>
    <row r="11" spans="1:19" ht="14.25" customHeight="1" thickBot="1">
      <c r="A11" s="840" t="s">
        <v>268</v>
      </c>
      <c r="B11" s="844" t="s">
        <v>187</v>
      </c>
      <c r="C11" s="834">
        <v>22950</v>
      </c>
      <c r="D11" s="834">
        <v>22630</v>
      </c>
      <c r="E11" s="834">
        <v>22030</v>
      </c>
      <c r="F11" s="848">
        <v>8330</v>
      </c>
      <c r="G11" s="837"/>
      <c r="I11" s="834" t="s">
        <v>280</v>
      </c>
      <c r="J11" s="834" t="s">
        <v>281</v>
      </c>
      <c r="K11" s="834" t="s">
        <v>282</v>
      </c>
      <c r="L11" s="834" t="s">
        <v>283</v>
      </c>
      <c r="M11" s="834" t="s">
        <v>284</v>
      </c>
      <c r="N11" s="834" t="s">
        <v>285</v>
      </c>
      <c r="O11" s="834" t="s">
        <v>286</v>
      </c>
      <c r="P11" s="834" t="s">
        <v>287</v>
      </c>
      <c r="Q11" s="834" t="s">
        <v>288</v>
      </c>
      <c r="R11" s="834" t="s">
        <v>289</v>
      </c>
    </row>
    <row r="12" spans="1:19" ht="14.25" customHeight="1" thickBot="1">
      <c r="A12" s="840" t="s">
        <v>268</v>
      </c>
      <c r="B12" s="844" t="s">
        <v>137</v>
      </c>
      <c r="C12" s="834">
        <v>24940</v>
      </c>
      <c r="D12" s="834">
        <v>23180</v>
      </c>
      <c r="E12" s="834">
        <v>22910</v>
      </c>
      <c r="F12" s="848">
        <v>7180</v>
      </c>
      <c r="G12" s="837"/>
      <c r="I12" s="834" t="s">
        <v>290</v>
      </c>
      <c r="J12" s="834" t="s">
        <v>291</v>
      </c>
      <c r="K12" s="834" t="s">
        <v>292</v>
      </c>
      <c r="L12" s="834" t="s">
        <v>293</v>
      </c>
      <c r="M12" s="834" t="s">
        <v>294</v>
      </c>
      <c r="N12" s="834" t="s">
        <v>295</v>
      </c>
      <c r="O12" s="834" t="s">
        <v>296</v>
      </c>
      <c r="P12" s="834" t="s">
        <v>297</v>
      </c>
      <c r="Q12" s="834" t="s">
        <v>298</v>
      </c>
      <c r="R12" s="834" t="s">
        <v>299</v>
      </c>
    </row>
    <row r="13" spans="1:19" ht="14.25" customHeight="1" thickBot="1">
      <c r="A13" s="840" t="s">
        <v>268</v>
      </c>
      <c r="B13" s="844" t="s">
        <v>213</v>
      </c>
      <c r="C13" s="834">
        <v>24140</v>
      </c>
      <c r="D13" s="834">
        <v>22270</v>
      </c>
      <c r="E13" s="834">
        <v>21950</v>
      </c>
      <c r="F13" s="848">
        <v>7600</v>
      </c>
      <c r="G13" s="837"/>
      <c r="I13" s="834" t="s">
        <v>300</v>
      </c>
      <c r="J13" s="834" t="s">
        <v>301</v>
      </c>
      <c r="K13" s="834" t="s">
        <v>302</v>
      </c>
      <c r="L13" s="834" t="s">
        <v>303</v>
      </c>
      <c r="M13" s="834" t="s">
        <v>304</v>
      </c>
      <c r="N13" s="834" t="s">
        <v>305</v>
      </c>
      <c r="O13" s="834" t="s">
        <v>306</v>
      </c>
      <c r="P13" s="834" t="s">
        <v>307</v>
      </c>
      <c r="Q13" s="834" t="s">
        <v>308</v>
      </c>
      <c r="R13" s="834" t="s">
        <v>309</v>
      </c>
    </row>
    <row r="14" spans="1:19" ht="14.25" customHeight="1" thickBot="1">
      <c r="A14" s="840" t="s">
        <v>268</v>
      </c>
      <c r="B14" s="844" t="s">
        <v>225</v>
      </c>
      <c r="C14" s="834">
        <v>25600</v>
      </c>
      <c r="D14" s="834">
        <v>22260</v>
      </c>
      <c r="E14" s="834">
        <v>22110</v>
      </c>
      <c r="F14" s="848">
        <v>7630</v>
      </c>
      <c r="G14" s="837"/>
      <c r="I14" s="834" t="s">
        <v>310</v>
      </c>
      <c r="J14" s="834" t="s">
        <v>311</v>
      </c>
      <c r="K14" s="834" t="s">
        <v>312</v>
      </c>
      <c r="L14" s="834" t="s">
        <v>313</v>
      </c>
      <c r="M14" s="834" t="s">
        <v>314</v>
      </c>
      <c r="N14" s="834" t="s">
        <v>315</v>
      </c>
      <c r="O14" s="834" t="s">
        <v>316</v>
      </c>
      <c r="P14" s="834" t="s">
        <v>317</v>
      </c>
      <c r="Q14" s="834" t="s">
        <v>318</v>
      </c>
      <c r="R14" s="834" t="s">
        <v>319</v>
      </c>
    </row>
    <row r="15" spans="1:19" ht="14.25" customHeight="1" thickBot="1">
      <c r="A15" s="840" t="s">
        <v>268</v>
      </c>
      <c r="B15" s="844" t="s">
        <v>236</v>
      </c>
      <c r="C15" s="834">
        <v>24760</v>
      </c>
      <c r="D15" s="834">
        <v>24440</v>
      </c>
      <c r="E15" s="834">
        <v>24130</v>
      </c>
      <c r="F15" s="848">
        <v>9480</v>
      </c>
      <c r="G15" s="837"/>
      <c r="I15" s="834" t="s">
        <v>321</v>
      </c>
      <c r="J15" s="834" t="s">
        <v>322</v>
      </c>
      <c r="K15" s="834" t="s">
        <v>323</v>
      </c>
      <c r="L15" s="834" t="s">
        <v>324</v>
      </c>
      <c r="M15" s="834" t="s">
        <v>325</v>
      </c>
      <c r="N15" s="834" t="s">
        <v>326</v>
      </c>
      <c r="O15" s="834" t="s">
        <v>327</v>
      </c>
      <c r="P15" s="834" t="s">
        <v>328</v>
      </c>
      <c r="Q15" s="834" t="s">
        <v>329</v>
      </c>
      <c r="R15" s="834" t="s">
        <v>330</v>
      </c>
    </row>
    <row r="16" spans="1:19" ht="14.25" customHeight="1" thickBot="1">
      <c r="A16" s="840" t="s">
        <v>268</v>
      </c>
      <c r="B16" s="844" t="s">
        <v>247</v>
      </c>
      <c r="C16" s="834">
        <v>22220</v>
      </c>
      <c r="D16" s="834">
        <v>22310</v>
      </c>
      <c r="E16" s="834">
        <v>22000</v>
      </c>
      <c r="F16" s="848">
        <v>8900</v>
      </c>
      <c r="G16" s="837"/>
      <c r="I16" s="834" t="s">
        <v>332</v>
      </c>
      <c r="J16" s="834" t="s">
        <v>333</v>
      </c>
      <c r="K16" s="834" t="s">
        <v>334</v>
      </c>
      <c r="L16" s="834" t="s">
        <v>335</v>
      </c>
      <c r="M16" s="834" t="s">
        <v>336</v>
      </c>
      <c r="N16" s="834" t="s">
        <v>337</v>
      </c>
      <c r="O16" s="834" t="s">
        <v>338</v>
      </c>
      <c r="P16" s="834" t="s">
        <v>339</v>
      </c>
      <c r="Q16" s="834" t="s">
        <v>340</v>
      </c>
      <c r="R16" s="834" t="s">
        <v>341</v>
      </c>
    </row>
    <row r="17" spans="1:18" ht="14.25" customHeight="1" thickBot="1">
      <c r="A17" s="840" t="s">
        <v>268</v>
      </c>
      <c r="B17" s="844" t="s">
        <v>258</v>
      </c>
      <c r="C17" s="834">
        <v>24700</v>
      </c>
      <c r="D17" s="834">
        <v>25150</v>
      </c>
      <c r="E17" s="834">
        <v>24700</v>
      </c>
      <c r="F17" s="849"/>
      <c r="G17" s="837"/>
      <c r="I17" s="834" t="s">
        <v>342</v>
      </c>
      <c r="J17" s="834" t="s">
        <v>343</v>
      </c>
      <c r="K17" s="834" t="s">
        <v>344</v>
      </c>
      <c r="L17" s="834" t="s">
        <v>345</v>
      </c>
      <c r="M17" s="834" t="s">
        <v>346</v>
      </c>
      <c r="N17" s="834" t="s">
        <v>347</v>
      </c>
      <c r="O17" s="834" t="s">
        <v>348</v>
      </c>
      <c r="P17" s="834" t="s">
        <v>349</v>
      </c>
      <c r="Q17" s="834" t="s">
        <v>350</v>
      </c>
      <c r="R17" s="834" t="s">
        <v>351</v>
      </c>
    </row>
    <row r="18" spans="1:18" ht="14.25" customHeight="1" thickBot="1">
      <c r="A18" s="840" t="s">
        <v>268</v>
      </c>
      <c r="B18" s="844" t="s">
        <v>270</v>
      </c>
      <c r="C18" s="834">
        <v>22350</v>
      </c>
      <c r="D18" s="834">
        <v>24340</v>
      </c>
      <c r="E18" s="834">
        <v>24100</v>
      </c>
      <c r="F18" s="849"/>
      <c r="G18" s="837"/>
      <c r="I18" s="834" t="s">
        <v>352</v>
      </c>
      <c r="J18" s="834" t="s">
        <v>353</v>
      </c>
      <c r="K18" s="834" t="s">
        <v>354</v>
      </c>
      <c r="L18" s="834" t="s">
        <v>355</v>
      </c>
      <c r="M18" s="834" t="s">
        <v>356</v>
      </c>
      <c r="N18" s="834" t="s">
        <v>357</v>
      </c>
      <c r="O18" s="834" t="s">
        <v>358</v>
      </c>
      <c r="P18" s="834" t="s">
        <v>359</v>
      </c>
      <c r="Q18" s="834" t="s">
        <v>360</v>
      </c>
      <c r="R18" s="834" t="s">
        <v>361</v>
      </c>
    </row>
    <row r="19" spans="1:18" ht="14.25" customHeight="1" thickBot="1">
      <c r="A19" s="840" t="s">
        <v>268</v>
      </c>
      <c r="B19" s="844" t="s">
        <v>280</v>
      </c>
      <c r="C19" s="834">
        <v>23430</v>
      </c>
      <c r="D19" s="834">
        <v>21580</v>
      </c>
      <c r="E19" s="834">
        <v>21350</v>
      </c>
      <c r="F19" s="849"/>
      <c r="G19" s="837"/>
      <c r="I19" s="834" t="s">
        <v>362</v>
      </c>
      <c r="J19" s="834" t="s">
        <v>363</v>
      </c>
      <c r="K19" s="834" t="s">
        <v>364</v>
      </c>
      <c r="L19" s="834" t="s">
        <v>365</v>
      </c>
      <c r="M19" s="834" t="s">
        <v>366</v>
      </c>
      <c r="N19" s="834" t="s">
        <v>367</v>
      </c>
      <c r="O19" s="834" t="s">
        <v>368</v>
      </c>
      <c r="P19" s="834" t="s">
        <v>369</v>
      </c>
      <c r="Q19" s="834" t="s">
        <v>370</v>
      </c>
      <c r="R19" s="834" t="s">
        <v>371</v>
      </c>
    </row>
    <row r="20" spans="1:18" ht="14.25" customHeight="1" thickBot="1">
      <c r="A20" s="840" t="s">
        <v>268</v>
      </c>
      <c r="B20" s="844" t="s">
        <v>290</v>
      </c>
      <c r="C20" s="834">
        <v>27660</v>
      </c>
      <c r="D20" s="834">
        <v>24240</v>
      </c>
      <c r="E20" s="834">
        <v>24020</v>
      </c>
      <c r="F20" s="849"/>
      <c r="I20" s="834" t="s">
        <v>372</v>
      </c>
      <c r="J20" s="834" t="s">
        <v>373</v>
      </c>
      <c r="K20" s="834" t="s">
        <v>374</v>
      </c>
      <c r="L20" s="834" t="s">
        <v>375</v>
      </c>
      <c r="M20" s="834" t="s">
        <v>376</v>
      </c>
      <c r="N20" s="834" t="s">
        <v>377</v>
      </c>
      <c r="O20" s="834" t="s">
        <v>378</v>
      </c>
      <c r="P20" s="834" t="s">
        <v>379</v>
      </c>
      <c r="Q20" s="834" t="s">
        <v>380</v>
      </c>
      <c r="R20" s="834" t="s">
        <v>381</v>
      </c>
    </row>
    <row r="21" spans="1:18" ht="14.25" customHeight="1" thickBot="1">
      <c r="A21" s="840" t="s">
        <v>268</v>
      </c>
      <c r="B21" s="844" t="s">
        <v>300</v>
      </c>
      <c r="C21" s="834">
        <v>24720</v>
      </c>
      <c r="D21" s="834">
        <v>21670</v>
      </c>
      <c r="E21" s="834">
        <v>21510</v>
      </c>
      <c r="F21" s="849"/>
      <c r="J21" s="834" t="s">
        <v>382</v>
      </c>
      <c r="K21" s="834" t="s">
        <v>383</v>
      </c>
      <c r="L21" s="834" t="s">
        <v>384</v>
      </c>
      <c r="M21" s="834" t="s">
        <v>385</v>
      </c>
      <c r="N21" s="834" t="s">
        <v>386</v>
      </c>
      <c r="O21" s="834" t="s">
        <v>387</v>
      </c>
      <c r="P21" s="834" t="s">
        <v>388</v>
      </c>
      <c r="Q21" s="834" t="s">
        <v>389</v>
      </c>
      <c r="R21" s="834" t="s">
        <v>390</v>
      </c>
    </row>
    <row r="22" spans="1:18" ht="14.25" customHeight="1" thickBot="1">
      <c r="A22" s="840" t="s">
        <v>268</v>
      </c>
      <c r="B22" s="844" t="s">
        <v>391</v>
      </c>
      <c r="C22" s="834">
        <v>26530</v>
      </c>
      <c r="D22" s="834">
        <v>22980</v>
      </c>
      <c r="E22" s="834">
        <v>22650</v>
      </c>
      <c r="F22" s="849"/>
      <c r="K22" s="834" t="s">
        <v>392</v>
      </c>
      <c r="L22" s="834" t="s">
        <v>393</v>
      </c>
      <c r="M22" s="834" t="s">
        <v>394</v>
      </c>
      <c r="N22" s="834" t="s">
        <v>395</v>
      </c>
      <c r="O22" s="834" t="s">
        <v>396</v>
      </c>
      <c r="P22" s="834" t="s">
        <v>397</v>
      </c>
      <c r="Q22" s="834" t="s">
        <v>398</v>
      </c>
      <c r="R22" s="844" t="s">
        <v>399</v>
      </c>
    </row>
    <row r="23" spans="1:18" ht="14.25" customHeight="1" thickBot="1">
      <c r="A23" s="840" t="s">
        <v>268</v>
      </c>
      <c r="B23" s="844" t="s">
        <v>321</v>
      </c>
      <c r="C23" s="834">
        <v>24700</v>
      </c>
      <c r="D23" s="834">
        <v>27290</v>
      </c>
      <c r="E23" s="834">
        <v>26710</v>
      </c>
      <c r="F23" s="849"/>
      <c r="K23" s="834" t="s">
        <v>400</v>
      </c>
      <c r="L23" s="834" t="s">
        <v>401</v>
      </c>
      <c r="M23" s="834" t="s">
        <v>402</v>
      </c>
      <c r="N23" s="834" t="s">
        <v>403</v>
      </c>
      <c r="O23" s="834" t="s">
        <v>404</v>
      </c>
      <c r="P23" s="834" t="s">
        <v>405</v>
      </c>
      <c r="Q23" s="834" t="s">
        <v>406</v>
      </c>
    </row>
    <row r="24" spans="1:18" ht="14.25" customHeight="1" thickBot="1">
      <c r="A24" s="840" t="s">
        <v>268</v>
      </c>
      <c r="B24" s="844" t="s">
        <v>332</v>
      </c>
      <c r="C24" s="834">
        <v>23070</v>
      </c>
      <c r="D24" s="834">
        <v>24130</v>
      </c>
      <c r="E24" s="834">
        <v>23860</v>
      </c>
      <c r="F24" s="849"/>
      <c r="K24" s="834" t="s">
        <v>407</v>
      </c>
      <c r="L24" s="834" t="s">
        <v>408</v>
      </c>
      <c r="M24" s="834" t="s">
        <v>409</v>
      </c>
      <c r="N24" s="834" t="s">
        <v>410</v>
      </c>
      <c r="O24" s="834" t="s">
        <v>411</v>
      </c>
      <c r="P24" s="834" t="s">
        <v>412</v>
      </c>
      <c r="Q24" s="834" t="s">
        <v>413</v>
      </c>
    </row>
    <row r="25" spans="1:18" ht="14.25" customHeight="1" thickBot="1">
      <c r="A25" s="840" t="s">
        <v>268</v>
      </c>
      <c r="B25" s="844" t="s">
        <v>342</v>
      </c>
      <c r="C25" s="834">
        <v>27550</v>
      </c>
      <c r="D25" s="834">
        <v>25850</v>
      </c>
      <c r="E25" s="834">
        <v>25340</v>
      </c>
      <c r="F25" s="849"/>
      <c r="K25" s="834" t="s">
        <v>414</v>
      </c>
      <c r="L25" s="834" t="s">
        <v>415</v>
      </c>
      <c r="M25" s="834" t="s">
        <v>416</v>
      </c>
      <c r="N25" s="834" t="s">
        <v>417</v>
      </c>
      <c r="O25" s="834" t="s">
        <v>418</v>
      </c>
      <c r="P25" s="834" t="s">
        <v>419</v>
      </c>
      <c r="Q25" s="834" t="s">
        <v>420</v>
      </c>
    </row>
    <row r="26" spans="1:18" ht="14.25" customHeight="1" thickBot="1">
      <c r="A26" s="840" t="s">
        <v>268</v>
      </c>
      <c r="B26" s="844" t="s">
        <v>352</v>
      </c>
      <c r="C26" s="834"/>
      <c r="D26" s="834">
        <v>23900</v>
      </c>
      <c r="E26" s="834">
        <v>23590</v>
      </c>
      <c r="F26" s="849"/>
      <c r="K26" s="834" t="s">
        <v>421</v>
      </c>
      <c r="L26" s="834" t="s">
        <v>422</v>
      </c>
      <c r="M26" s="834" t="s">
        <v>423</v>
      </c>
      <c r="N26" s="834" t="s">
        <v>424</v>
      </c>
      <c r="O26" s="834" t="s">
        <v>425</v>
      </c>
      <c r="P26" s="834" t="s">
        <v>426</v>
      </c>
      <c r="Q26" s="834" t="s">
        <v>427</v>
      </c>
    </row>
    <row r="27" spans="1:18" ht="14.25" customHeight="1" thickBot="1">
      <c r="A27" s="840" t="s">
        <v>268</v>
      </c>
      <c r="B27" s="844" t="s">
        <v>362</v>
      </c>
      <c r="C27" s="834"/>
      <c r="D27" s="834">
        <v>22850</v>
      </c>
      <c r="E27" s="834">
        <v>21920</v>
      </c>
      <c r="F27" s="849"/>
      <c r="K27" s="834" t="s">
        <v>428</v>
      </c>
      <c r="L27" s="834" t="s">
        <v>429</v>
      </c>
      <c r="M27" s="834" t="s">
        <v>430</v>
      </c>
      <c r="N27" s="834" t="s">
        <v>431</v>
      </c>
      <c r="O27" s="834" t="s">
        <v>432</v>
      </c>
      <c r="P27" s="834" t="s">
        <v>433</v>
      </c>
      <c r="Q27" s="834" t="s">
        <v>434</v>
      </c>
    </row>
    <row r="28" spans="1:18" ht="14.25" customHeight="1" thickBot="1">
      <c r="A28" s="850" t="s">
        <v>268</v>
      </c>
      <c r="B28" s="845" t="s">
        <v>372</v>
      </c>
      <c r="C28" s="846"/>
      <c r="D28" s="846">
        <v>26610</v>
      </c>
      <c r="E28" s="846">
        <v>26370</v>
      </c>
      <c r="F28" s="847"/>
      <c r="K28" s="834" t="s">
        <v>435</v>
      </c>
      <c r="L28" s="834" t="s">
        <v>436</v>
      </c>
      <c r="M28" s="834" t="s">
        <v>437</v>
      </c>
      <c r="N28" s="834" t="s">
        <v>438</v>
      </c>
      <c r="O28" s="834" t="s">
        <v>439</v>
      </c>
      <c r="P28" s="834" t="s">
        <v>440</v>
      </c>
    </row>
    <row r="29" spans="1:18" ht="14.25" customHeight="1" thickBot="1">
      <c r="A29" s="840" t="s">
        <v>441</v>
      </c>
      <c r="B29" s="841" t="s">
        <v>442</v>
      </c>
      <c r="C29" s="841">
        <v>22090</v>
      </c>
      <c r="D29" s="841">
        <v>21860</v>
      </c>
      <c r="E29" s="841">
        <v>19380</v>
      </c>
      <c r="F29" s="842">
        <v>6610</v>
      </c>
      <c r="L29" s="834" t="s">
        <v>443</v>
      </c>
      <c r="M29" s="834" t="s">
        <v>444</v>
      </c>
      <c r="N29" s="834" t="s">
        <v>445</v>
      </c>
      <c r="O29" s="834" t="s">
        <v>446</v>
      </c>
      <c r="P29" s="834" t="s">
        <v>447</v>
      </c>
    </row>
    <row r="30" spans="1:18" ht="14.25" customHeight="1" thickBot="1">
      <c r="A30" s="840" t="s">
        <v>441</v>
      </c>
      <c r="B30" s="844" t="s">
        <v>188</v>
      </c>
      <c r="C30" s="834">
        <v>21380</v>
      </c>
      <c r="D30" s="834">
        <v>19930</v>
      </c>
      <c r="E30" s="834">
        <v>19860</v>
      </c>
      <c r="F30" s="848">
        <v>6010</v>
      </c>
      <c r="L30" s="834" t="s">
        <v>448</v>
      </c>
      <c r="M30" s="834" t="s">
        <v>449</v>
      </c>
      <c r="N30" s="834" t="s">
        <v>450</v>
      </c>
      <c r="O30" s="834" t="s">
        <v>1052</v>
      </c>
      <c r="P30" s="834" t="s">
        <v>451</v>
      </c>
    </row>
    <row r="31" spans="1:18" ht="14.25" customHeight="1" thickBot="1">
      <c r="A31" s="840" t="s">
        <v>441</v>
      </c>
      <c r="B31" s="844" t="s">
        <v>201</v>
      </c>
      <c r="C31" s="834">
        <v>21670</v>
      </c>
      <c r="D31" s="834">
        <v>20660</v>
      </c>
      <c r="E31" s="834">
        <v>20290</v>
      </c>
      <c r="F31" s="848">
        <v>5840</v>
      </c>
      <c r="L31" s="834" t="s">
        <v>452</v>
      </c>
      <c r="M31" s="834" t="s">
        <v>453</v>
      </c>
      <c r="N31" s="834" t="s">
        <v>454</v>
      </c>
      <c r="O31" s="834" t="s">
        <v>455</v>
      </c>
      <c r="P31" s="834" t="s">
        <v>456</v>
      </c>
    </row>
    <row r="32" spans="1:18" ht="14.25" customHeight="1" thickBot="1">
      <c r="A32" s="840" t="s">
        <v>441</v>
      </c>
      <c r="B32" s="844" t="s">
        <v>214</v>
      </c>
      <c r="C32" s="834">
        <v>22280</v>
      </c>
      <c r="D32" s="834">
        <v>21800</v>
      </c>
      <c r="E32" s="834">
        <v>17650</v>
      </c>
      <c r="F32" s="848">
        <v>4690</v>
      </c>
      <c r="L32" s="834" t="s">
        <v>457</v>
      </c>
      <c r="M32" s="834" t="s">
        <v>458</v>
      </c>
      <c r="N32" s="834" t="s">
        <v>459</v>
      </c>
      <c r="O32" s="834" t="s">
        <v>460</v>
      </c>
      <c r="P32" s="834" t="s">
        <v>461</v>
      </c>
    </row>
    <row r="33" spans="1:16" ht="14.25" customHeight="1" thickBot="1">
      <c r="A33" s="840" t="s">
        <v>441</v>
      </c>
      <c r="B33" s="844" t="s">
        <v>226</v>
      </c>
      <c r="C33" s="834">
        <v>22130</v>
      </c>
      <c r="D33" s="834">
        <v>20460</v>
      </c>
      <c r="E33" s="834">
        <v>18500</v>
      </c>
      <c r="F33" s="848">
        <v>5340</v>
      </c>
      <c r="L33" s="834" t="s">
        <v>462</v>
      </c>
      <c r="M33" s="834" t="s">
        <v>463</v>
      </c>
      <c r="N33" s="834" t="s">
        <v>464</v>
      </c>
      <c r="O33" s="834" t="s">
        <v>465</v>
      </c>
      <c r="P33" s="834" t="s">
        <v>466</v>
      </c>
    </row>
    <row r="34" spans="1:16" ht="14.25" customHeight="1" thickBot="1">
      <c r="A34" s="840" t="s">
        <v>441</v>
      </c>
      <c r="B34" s="844" t="s">
        <v>237</v>
      </c>
      <c r="C34" s="834">
        <v>22070</v>
      </c>
      <c r="D34" s="834">
        <v>20110</v>
      </c>
      <c r="E34" s="834">
        <v>18830</v>
      </c>
      <c r="F34" s="848">
        <v>5190</v>
      </c>
      <c r="L34" s="834" t="s">
        <v>467</v>
      </c>
      <c r="M34" s="834" t="s">
        <v>468</v>
      </c>
      <c r="N34" s="834" t="s">
        <v>469</v>
      </c>
      <c r="O34" s="834" t="s">
        <v>470</v>
      </c>
      <c r="P34" s="834" t="s">
        <v>471</v>
      </c>
    </row>
    <row r="35" spans="1:16" ht="14.25" customHeight="1" thickBot="1">
      <c r="A35" s="840" t="s">
        <v>441</v>
      </c>
      <c r="B35" s="844" t="s">
        <v>248</v>
      </c>
      <c r="C35" s="834">
        <v>22240</v>
      </c>
      <c r="D35" s="834">
        <v>19550</v>
      </c>
      <c r="E35" s="834">
        <v>19220</v>
      </c>
      <c r="F35" s="848">
        <v>5800</v>
      </c>
      <c r="L35" s="834" t="s">
        <v>472</v>
      </c>
      <c r="M35" s="834" t="s">
        <v>473</v>
      </c>
      <c r="N35" s="834" t="s">
        <v>474</v>
      </c>
      <c r="O35" s="834" t="s">
        <v>475</v>
      </c>
      <c r="P35" s="834" t="s">
        <v>476</v>
      </c>
    </row>
    <row r="36" spans="1:16" ht="14.25" customHeight="1" thickBot="1">
      <c r="A36" s="840" t="s">
        <v>441</v>
      </c>
      <c r="B36" s="844" t="s">
        <v>259</v>
      </c>
      <c r="C36" s="834">
        <v>19750</v>
      </c>
      <c r="D36" s="834">
        <v>19790</v>
      </c>
      <c r="E36" s="834">
        <v>18510</v>
      </c>
      <c r="F36" s="848">
        <v>6520</v>
      </c>
      <c r="M36" s="834" t="s">
        <v>477</v>
      </c>
      <c r="N36" s="834" t="s">
        <v>478</v>
      </c>
      <c r="O36" s="834" t="s">
        <v>479</v>
      </c>
      <c r="P36" s="834" t="s">
        <v>480</v>
      </c>
    </row>
    <row r="37" spans="1:16" ht="14.25" customHeight="1" thickBot="1">
      <c r="A37" s="840" t="s">
        <v>441</v>
      </c>
      <c r="B37" s="844" t="s">
        <v>271</v>
      </c>
      <c r="C37" s="834">
        <v>22380</v>
      </c>
      <c r="D37" s="834">
        <v>18530</v>
      </c>
      <c r="E37" s="834">
        <v>17930</v>
      </c>
      <c r="F37" s="848">
        <v>6270</v>
      </c>
      <c r="M37" s="834" t="s">
        <v>481</v>
      </c>
      <c r="N37" s="834" t="s">
        <v>482</v>
      </c>
      <c r="O37" s="834" t="s">
        <v>483</v>
      </c>
      <c r="P37" s="834" t="s">
        <v>484</v>
      </c>
    </row>
    <row r="38" spans="1:16" ht="14.25" customHeight="1" thickBot="1">
      <c r="A38" s="840" t="s">
        <v>441</v>
      </c>
      <c r="B38" s="844" t="s">
        <v>281</v>
      </c>
      <c r="C38" s="834">
        <v>20200</v>
      </c>
      <c r="D38" s="834">
        <v>20070</v>
      </c>
      <c r="E38" s="834">
        <v>19950</v>
      </c>
      <c r="F38" s="848"/>
      <c r="M38" s="834" t="s">
        <v>485</v>
      </c>
      <c r="N38" s="834" t="s">
        <v>486</v>
      </c>
      <c r="O38" s="834" t="s">
        <v>487</v>
      </c>
      <c r="P38" s="834" t="s">
        <v>488</v>
      </c>
    </row>
    <row r="39" spans="1:16" ht="14.25" customHeight="1" thickBot="1">
      <c r="A39" s="840" t="s">
        <v>441</v>
      </c>
      <c r="B39" s="844" t="s">
        <v>291</v>
      </c>
      <c r="C39" s="834">
        <v>19300</v>
      </c>
      <c r="D39" s="834">
        <v>20360</v>
      </c>
      <c r="E39" s="834">
        <v>20230</v>
      </c>
      <c r="F39" s="848"/>
      <c r="M39" s="834" t="s">
        <v>489</v>
      </c>
      <c r="N39" s="834" t="s">
        <v>490</v>
      </c>
      <c r="O39" s="834" t="s">
        <v>491</v>
      </c>
      <c r="P39" s="834" t="s">
        <v>492</v>
      </c>
    </row>
    <row r="40" spans="1:16" ht="14.25" customHeight="1" thickBot="1">
      <c r="A40" s="840" t="s">
        <v>441</v>
      </c>
      <c r="B40" s="844" t="s">
        <v>301</v>
      </c>
      <c r="C40" s="834">
        <v>20210</v>
      </c>
      <c r="D40" s="834">
        <v>19060</v>
      </c>
      <c r="E40" s="834">
        <v>18890</v>
      </c>
      <c r="F40" s="848"/>
      <c r="M40" s="834" t="s">
        <v>493</v>
      </c>
      <c r="N40" s="834" t="s">
        <v>494</v>
      </c>
      <c r="O40" s="834" t="s">
        <v>495</v>
      </c>
      <c r="P40" s="834" t="s">
        <v>496</v>
      </c>
    </row>
    <row r="41" spans="1:16" ht="14.25" customHeight="1" thickBot="1">
      <c r="A41" s="840" t="s">
        <v>441</v>
      </c>
      <c r="B41" s="844" t="s">
        <v>311</v>
      </c>
      <c r="C41" s="834">
        <v>20560</v>
      </c>
      <c r="D41" s="834">
        <v>21040</v>
      </c>
      <c r="E41" s="834">
        <v>20740</v>
      </c>
      <c r="F41" s="848"/>
      <c r="M41" s="844" t="s">
        <v>497</v>
      </c>
      <c r="N41" s="844" t="s">
        <v>498</v>
      </c>
      <c r="P41" s="844" t="s">
        <v>499</v>
      </c>
    </row>
    <row r="42" spans="1:16" ht="14.25" customHeight="1" thickBot="1">
      <c r="A42" s="840" t="s">
        <v>441</v>
      </c>
      <c r="B42" s="844" t="s">
        <v>322</v>
      </c>
      <c r="C42" s="834">
        <v>19280</v>
      </c>
      <c r="D42" s="834">
        <v>22940</v>
      </c>
      <c r="E42" s="834">
        <v>22500</v>
      </c>
      <c r="F42" s="848"/>
      <c r="M42" s="834" t="s">
        <v>500</v>
      </c>
      <c r="N42" s="834" t="s">
        <v>501</v>
      </c>
      <c r="P42" s="834" t="s">
        <v>502</v>
      </c>
    </row>
    <row r="43" spans="1:16" ht="14.25" customHeight="1" thickBot="1">
      <c r="A43" s="840" t="s">
        <v>441</v>
      </c>
      <c r="B43" s="844" t="s">
        <v>333</v>
      </c>
      <c r="C43" s="834">
        <v>21520</v>
      </c>
      <c r="D43" s="834">
        <v>19230</v>
      </c>
      <c r="E43" s="834">
        <v>18540</v>
      </c>
      <c r="F43" s="848"/>
      <c r="M43" s="834" t="s">
        <v>503</v>
      </c>
      <c r="N43" s="834" t="s">
        <v>504</v>
      </c>
      <c r="P43" s="834" t="s">
        <v>505</v>
      </c>
    </row>
    <row r="44" spans="1:16" ht="14.25" customHeight="1" thickBot="1">
      <c r="A44" s="840" t="s">
        <v>441</v>
      </c>
      <c r="B44" s="844" t="s">
        <v>343</v>
      </c>
      <c r="C44" s="834">
        <v>23260</v>
      </c>
      <c r="D44" s="834">
        <v>21180</v>
      </c>
      <c r="E44" s="834">
        <v>20730</v>
      </c>
      <c r="F44" s="848"/>
      <c r="M44" s="834" t="s">
        <v>506</v>
      </c>
      <c r="N44" s="834" t="s">
        <v>507</v>
      </c>
      <c r="P44" s="834" t="s">
        <v>508</v>
      </c>
    </row>
    <row r="45" spans="1:16" ht="14.25" customHeight="1" thickBot="1">
      <c r="A45" s="840" t="s">
        <v>441</v>
      </c>
      <c r="B45" s="844" t="s">
        <v>353</v>
      </c>
      <c r="C45" s="834">
        <v>19610</v>
      </c>
      <c r="D45" s="834">
        <v>18090</v>
      </c>
      <c r="E45" s="834">
        <v>17970</v>
      </c>
      <c r="F45" s="848"/>
      <c r="M45" s="834" t="s">
        <v>509</v>
      </c>
      <c r="N45" s="834" t="s">
        <v>510</v>
      </c>
      <c r="P45" s="834" t="s">
        <v>511</v>
      </c>
    </row>
    <row r="46" spans="1:16" ht="14.25" customHeight="1" thickBot="1">
      <c r="A46" s="840" t="s">
        <v>441</v>
      </c>
      <c r="B46" s="844" t="s">
        <v>363</v>
      </c>
      <c r="C46" s="834">
        <v>21660</v>
      </c>
      <c r="D46" s="834">
        <v>19190</v>
      </c>
      <c r="E46" s="834">
        <v>19790</v>
      </c>
      <c r="F46" s="848"/>
      <c r="M46" s="834" t="s">
        <v>512</v>
      </c>
      <c r="N46" s="834" t="s">
        <v>513</v>
      </c>
      <c r="P46" s="834" t="s">
        <v>514</v>
      </c>
    </row>
    <row r="47" spans="1:16" ht="14.25" customHeight="1" thickBot="1">
      <c r="A47" s="840" t="s">
        <v>441</v>
      </c>
      <c r="B47" s="844" t="s">
        <v>373</v>
      </c>
      <c r="C47" s="834">
        <v>18220</v>
      </c>
      <c r="D47" s="834"/>
      <c r="E47" s="834">
        <v>17220</v>
      </c>
      <c r="F47" s="848"/>
      <c r="M47" s="834" t="s">
        <v>515</v>
      </c>
      <c r="N47" s="834" t="s">
        <v>516</v>
      </c>
    </row>
    <row r="48" spans="1:16" ht="14.25" customHeight="1" thickBot="1">
      <c r="A48" s="840" t="s">
        <v>441</v>
      </c>
      <c r="B48" s="845" t="s">
        <v>382</v>
      </c>
      <c r="C48" s="846">
        <v>19430</v>
      </c>
      <c r="D48" s="846"/>
      <c r="E48" s="846">
        <v>17830</v>
      </c>
      <c r="F48" s="851"/>
      <c r="M48" s="834" t="s">
        <v>517</v>
      </c>
      <c r="N48" s="834" t="s">
        <v>518</v>
      </c>
    </row>
    <row r="49" spans="1:14" ht="14.25" customHeight="1" thickBot="1">
      <c r="A49" s="840" t="s">
        <v>136</v>
      </c>
      <c r="B49" s="841" t="s">
        <v>519</v>
      </c>
      <c r="C49" s="841">
        <v>17090</v>
      </c>
      <c r="D49" s="841">
        <v>16950</v>
      </c>
      <c r="E49" s="841">
        <v>16310</v>
      </c>
      <c r="F49" s="842">
        <v>4540</v>
      </c>
      <c r="M49" s="834" t="s">
        <v>520</v>
      </c>
      <c r="N49" s="834" t="s">
        <v>521</v>
      </c>
    </row>
    <row r="50" spans="1:14" ht="14.25" customHeight="1" thickBot="1">
      <c r="A50" s="840" t="s">
        <v>136</v>
      </c>
      <c r="B50" s="834" t="s">
        <v>189</v>
      </c>
      <c r="C50" s="834">
        <v>19040</v>
      </c>
      <c r="D50" s="834">
        <v>16960</v>
      </c>
      <c r="E50" s="834">
        <v>14800</v>
      </c>
      <c r="F50" s="848">
        <v>3940</v>
      </c>
    </row>
    <row r="51" spans="1:14" ht="14.25" customHeight="1" thickBot="1">
      <c r="A51" s="840" t="s">
        <v>136</v>
      </c>
      <c r="B51" s="834" t="s">
        <v>202</v>
      </c>
      <c r="C51" s="834">
        <v>17040</v>
      </c>
      <c r="D51" s="834">
        <v>16930</v>
      </c>
      <c r="E51" s="834">
        <v>15030</v>
      </c>
      <c r="F51" s="848">
        <v>4120</v>
      </c>
    </row>
    <row r="52" spans="1:14" ht="14.25" customHeight="1" thickBot="1">
      <c r="A52" s="840" t="s">
        <v>136</v>
      </c>
      <c r="B52" s="834" t="s">
        <v>215</v>
      </c>
      <c r="C52" s="834">
        <v>17110</v>
      </c>
      <c r="D52" s="834">
        <v>17750</v>
      </c>
      <c r="E52" s="834">
        <v>17310</v>
      </c>
      <c r="F52" s="848">
        <v>3220</v>
      </c>
    </row>
    <row r="53" spans="1:14" ht="14.25" customHeight="1" thickBot="1">
      <c r="A53" s="840" t="s">
        <v>136</v>
      </c>
      <c r="B53" s="834" t="s">
        <v>227</v>
      </c>
      <c r="C53" s="834">
        <v>17810</v>
      </c>
      <c r="D53" s="834">
        <v>17260</v>
      </c>
      <c r="E53" s="834">
        <v>17090</v>
      </c>
      <c r="F53" s="848">
        <v>3520</v>
      </c>
    </row>
    <row r="54" spans="1:14" ht="14.25" customHeight="1" thickBot="1">
      <c r="A54" s="840" t="s">
        <v>136</v>
      </c>
      <c r="B54" s="834" t="s">
        <v>238</v>
      </c>
      <c r="C54" s="834">
        <v>17410</v>
      </c>
      <c r="D54" s="834">
        <v>16780</v>
      </c>
      <c r="E54" s="834">
        <v>16370</v>
      </c>
      <c r="F54" s="848">
        <v>3410</v>
      </c>
    </row>
    <row r="55" spans="1:14" ht="14.25" customHeight="1" thickBot="1">
      <c r="A55" s="840" t="s">
        <v>136</v>
      </c>
      <c r="B55" s="834" t="s">
        <v>249</v>
      </c>
      <c r="C55" s="834">
        <v>16930</v>
      </c>
      <c r="D55" s="834">
        <v>14720</v>
      </c>
      <c r="E55" s="834">
        <v>15000</v>
      </c>
      <c r="F55" s="848">
        <v>3710</v>
      </c>
    </row>
    <row r="56" spans="1:14" ht="14.25" customHeight="1" thickBot="1">
      <c r="A56" s="840" t="s">
        <v>136</v>
      </c>
      <c r="B56" s="834" t="s">
        <v>260</v>
      </c>
      <c r="C56" s="834">
        <v>14930</v>
      </c>
      <c r="D56" s="834">
        <v>15850</v>
      </c>
      <c r="E56" s="834">
        <v>14320</v>
      </c>
      <c r="F56" s="848">
        <v>3960</v>
      </c>
    </row>
    <row r="57" spans="1:14" ht="14.25" customHeight="1" thickBot="1">
      <c r="A57" s="840" t="s">
        <v>136</v>
      </c>
      <c r="B57" s="834" t="s">
        <v>272</v>
      </c>
      <c r="C57" s="834">
        <v>16160</v>
      </c>
      <c r="D57" s="834">
        <v>16190</v>
      </c>
      <c r="E57" s="834">
        <v>15650</v>
      </c>
      <c r="F57" s="848">
        <v>4200</v>
      </c>
    </row>
    <row r="58" spans="1:14" ht="14.25" customHeight="1" thickBot="1">
      <c r="A58" s="840" t="s">
        <v>136</v>
      </c>
      <c r="B58" s="834" t="s">
        <v>282</v>
      </c>
      <c r="C58" s="834">
        <v>16360</v>
      </c>
      <c r="D58" s="834">
        <v>14050</v>
      </c>
      <c r="E58" s="834">
        <v>16070</v>
      </c>
      <c r="F58" s="848">
        <v>3990</v>
      </c>
    </row>
    <row r="59" spans="1:14" ht="14.25" customHeight="1" thickBot="1">
      <c r="A59" s="840" t="s">
        <v>136</v>
      </c>
      <c r="B59" s="834" t="s">
        <v>292</v>
      </c>
      <c r="C59" s="834">
        <v>14160</v>
      </c>
      <c r="D59" s="834">
        <v>16620</v>
      </c>
      <c r="E59" s="834">
        <v>13940</v>
      </c>
      <c r="F59" s="848">
        <v>4260</v>
      </c>
    </row>
    <row r="60" spans="1:14" ht="14.25" customHeight="1" thickBot="1">
      <c r="A60" s="840" t="s">
        <v>136</v>
      </c>
      <c r="B60" s="834" t="s">
        <v>302</v>
      </c>
      <c r="C60" s="834">
        <v>16750</v>
      </c>
      <c r="D60" s="834">
        <v>13910</v>
      </c>
      <c r="E60" s="834">
        <v>16550</v>
      </c>
      <c r="F60" s="848">
        <v>4550</v>
      </c>
    </row>
    <row r="61" spans="1:14" ht="14.25" customHeight="1" thickBot="1">
      <c r="A61" s="840" t="s">
        <v>136</v>
      </c>
      <c r="B61" s="834" t="s">
        <v>312</v>
      </c>
      <c r="C61" s="834">
        <v>14000</v>
      </c>
      <c r="D61" s="834">
        <v>14550</v>
      </c>
      <c r="E61" s="834">
        <v>13860</v>
      </c>
      <c r="F61" s="852"/>
    </row>
    <row r="62" spans="1:14" ht="14.25" customHeight="1" thickBot="1">
      <c r="A62" s="840" t="s">
        <v>136</v>
      </c>
      <c r="B62" s="834" t="s">
        <v>323</v>
      </c>
      <c r="C62" s="834">
        <v>14660</v>
      </c>
      <c r="D62" s="834">
        <v>17450</v>
      </c>
      <c r="E62" s="834">
        <v>14470</v>
      </c>
      <c r="F62" s="852"/>
    </row>
    <row r="63" spans="1:14" ht="14.25" customHeight="1" thickBot="1">
      <c r="A63" s="840" t="s">
        <v>136</v>
      </c>
      <c r="B63" s="834" t="s">
        <v>334</v>
      </c>
      <c r="C63" s="834">
        <v>17610</v>
      </c>
      <c r="D63" s="834">
        <v>16500</v>
      </c>
      <c r="E63" s="834">
        <v>17330</v>
      </c>
      <c r="F63" s="852"/>
    </row>
    <row r="64" spans="1:14" ht="14.25" customHeight="1" thickBot="1">
      <c r="A64" s="840" t="s">
        <v>136</v>
      </c>
      <c r="B64" s="834" t="s">
        <v>344</v>
      </c>
      <c r="C64" s="834">
        <v>16590</v>
      </c>
      <c r="D64" s="834">
        <v>15130</v>
      </c>
      <c r="E64" s="834">
        <v>16420</v>
      </c>
      <c r="F64" s="852"/>
    </row>
    <row r="65" spans="1:6" s="828" customFormat="1" ht="14.25" customHeight="1" thickBot="1">
      <c r="A65" s="840" t="s">
        <v>136</v>
      </c>
      <c r="B65" s="834" t="s">
        <v>354</v>
      </c>
      <c r="C65" s="834">
        <v>15220</v>
      </c>
      <c r="D65" s="834">
        <v>14660</v>
      </c>
      <c r="E65" s="834">
        <v>15060</v>
      </c>
      <c r="F65" s="848"/>
    </row>
    <row r="66" spans="1:6" s="828" customFormat="1" ht="14.25" customHeight="1" thickBot="1">
      <c r="A66" s="840" t="s">
        <v>136</v>
      </c>
      <c r="B66" s="834" t="s">
        <v>364</v>
      </c>
      <c r="C66" s="834">
        <v>14720</v>
      </c>
      <c r="D66" s="834">
        <v>15970</v>
      </c>
      <c r="E66" s="834">
        <v>14610</v>
      </c>
      <c r="F66" s="848"/>
    </row>
    <row r="67" spans="1:6" s="828" customFormat="1" ht="14.25" customHeight="1" thickBot="1">
      <c r="A67" s="840" t="s">
        <v>136</v>
      </c>
      <c r="B67" s="834" t="s">
        <v>374</v>
      </c>
      <c r="C67" s="834">
        <v>16080</v>
      </c>
      <c r="D67" s="834">
        <v>14840</v>
      </c>
      <c r="E67" s="834">
        <v>15630</v>
      </c>
      <c r="F67" s="848"/>
    </row>
    <row r="68" spans="1:6" s="828" customFormat="1" ht="14.25" customHeight="1" thickBot="1">
      <c r="A68" s="840" t="s">
        <v>136</v>
      </c>
      <c r="B68" s="834" t="s">
        <v>383</v>
      </c>
      <c r="C68" s="834">
        <v>14940</v>
      </c>
      <c r="D68" s="834">
        <v>18000</v>
      </c>
      <c r="E68" s="834">
        <v>14040</v>
      </c>
      <c r="F68" s="848"/>
    </row>
    <row r="69" spans="1:6" s="828" customFormat="1" ht="14.25" customHeight="1" thickBot="1">
      <c r="A69" s="840" t="s">
        <v>136</v>
      </c>
      <c r="B69" s="834" t="s">
        <v>392</v>
      </c>
      <c r="C69" s="834">
        <v>18810</v>
      </c>
      <c r="D69" s="834">
        <v>15100</v>
      </c>
      <c r="E69" s="834">
        <v>14710</v>
      </c>
      <c r="F69" s="848"/>
    </row>
    <row r="70" spans="1:6" s="828" customFormat="1" ht="14.25" customHeight="1" thickBot="1">
      <c r="A70" s="840" t="s">
        <v>136</v>
      </c>
      <c r="B70" s="834" t="s">
        <v>400</v>
      </c>
      <c r="C70" s="834">
        <v>18270</v>
      </c>
      <c r="D70" s="834"/>
      <c r="E70" s="834"/>
      <c r="F70" s="848"/>
    </row>
    <row r="71" spans="1:6" s="828" customFormat="1" ht="14.25" customHeight="1" thickBot="1">
      <c r="A71" s="840" t="s">
        <v>136</v>
      </c>
      <c r="B71" s="834" t="s">
        <v>407</v>
      </c>
      <c r="C71" s="834">
        <v>15230</v>
      </c>
      <c r="D71" s="834"/>
      <c r="E71" s="834"/>
      <c r="F71" s="848"/>
    </row>
    <row r="72" spans="1:6" s="828" customFormat="1" ht="14.25" customHeight="1" thickBot="1">
      <c r="A72" s="840" t="s">
        <v>136</v>
      </c>
      <c r="B72" s="834" t="s">
        <v>414</v>
      </c>
      <c r="C72" s="834"/>
      <c r="D72" s="834"/>
      <c r="E72" s="834"/>
      <c r="F72" s="848">
        <v>4120</v>
      </c>
    </row>
    <row r="73" spans="1:6" s="828" customFormat="1" ht="14.25" customHeight="1" thickBot="1">
      <c r="A73" s="840" t="s">
        <v>136</v>
      </c>
      <c r="B73" s="834" t="s">
        <v>421</v>
      </c>
      <c r="C73" s="834"/>
      <c r="D73" s="834"/>
      <c r="E73" s="834"/>
      <c r="F73" s="848">
        <v>3930</v>
      </c>
    </row>
    <row r="74" spans="1:6" s="828" customFormat="1" ht="14.25" customHeight="1" thickBot="1">
      <c r="A74" s="840" t="s">
        <v>136</v>
      </c>
      <c r="B74" s="834" t="s">
        <v>428</v>
      </c>
      <c r="C74" s="834"/>
      <c r="D74" s="834"/>
      <c r="E74" s="834"/>
      <c r="F74" s="848">
        <v>4060</v>
      </c>
    </row>
    <row r="75" spans="1:6" s="828" customFormat="1" ht="14.25" customHeight="1" thickBot="1">
      <c r="A75" s="840" t="s">
        <v>136</v>
      </c>
      <c r="B75" s="846" t="s">
        <v>435</v>
      </c>
      <c r="C75" s="846"/>
      <c r="D75" s="846"/>
      <c r="E75" s="846"/>
      <c r="F75" s="851">
        <v>3750</v>
      </c>
    </row>
    <row r="76" spans="1:6" s="828" customFormat="1" ht="14.25" customHeight="1" thickBot="1">
      <c r="A76" s="840" t="s">
        <v>522</v>
      </c>
      <c r="B76" s="841" t="s">
        <v>523</v>
      </c>
      <c r="C76" s="841">
        <v>14690</v>
      </c>
      <c r="D76" s="841">
        <v>14640</v>
      </c>
      <c r="E76" s="841">
        <v>14590</v>
      </c>
      <c r="F76" s="842">
        <v>3060</v>
      </c>
    </row>
    <row r="77" spans="1:6" s="828" customFormat="1" ht="14.25" customHeight="1" thickBot="1">
      <c r="A77" s="840" t="s">
        <v>522</v>
      </c>
      <c r="B77" s="834" t="s">
        <v>190</v>
      </c>
      <c r="C77" s="834">
        <v>12550</v>
      </c>
      <c r="D77" s="834">
        <v>12480</v>
      </c>
      <c r="E77" s="834">
        <v>12450</v>
      </c>
      <c r="F77" s="848">
        <v>2590</v>
      </c>
    </row>
    <row r="78" spans="1:6" s="828" customFormat="1" ht="14.25" customHeight="1" thickBot="1">
      <c r="A78" s="840" t="s">
        <v>522</v>
      </c>
      <c r="B78" s="834" t="s">
        <v>203</v>
      </c>
      <c r="C78" s="834">
        <v>14360</v>
      </c>
      <c r="D78" s="834">
        <v>14320</v>
      </c>
      <c r="E78" s="834">
        <v>12510</v>
      </c>
      <c r="F78" s="848">
        <v>2700</v>
      </c>
    </row>
    <row r="79" spans="1:6" s="828" customFormat="1" ht="14.25" customHeight="1" thickBot="1">
      <c r="A79" s="840" t="s">
        <v>522</v>
      </c>
      <c r="B79" s="834" t="s">
        <v>216</v>
      </c>
      <c r="C79" s="834">
        <v>12590</v>
      </c>
      <c r="D79" s="834">
        <v>12540</v>
      </c>
      <c r="E79" s="834">
        <v>12350</v>
      </c>
      <c r="F79" s="848">
        <v>2740</v>
      </c>
    </row>
    <row r="80" spans="1:6" s="828" customFormat="1" ht="14.25" customHeight="1" thickBot="1">
      <c r="A80" s="840" t="s">
        <v>522</v>
      </c>
      <c r="B80" s="834" t="s">
        <v>228</v>
      </c>
      <c r="C80" s="834">
        <v>12450</v>
      </c>
      <c r="D80" s="834">
        <v>12370</v>
      </c>
      <c r="E80" s="834">
        <v>10790</v>
      </c>
      <c r="F80" s="848">
        <v>2290</v>
      </c>
    </row>
    <row r="81" spans="1:6" s="828" customFormat="1" ht="14.25" customHeight="1" thickBot="1">
      <c r="A81" s="840" t="s">
        <v>522</v>
      </c>
      <c r="B81" s="834" t="s">
        <v>239</v>
      </c>
      <c r="C81" s="834">
        <v>14210</v>
      </c>
      <c r="D81" s="834">
        <v>14150</v>
      </c>
      <c r="E81" s="834">
        <v>12730</v>
      </c>
      <c r="F81" s="848">
        <v>2240</v>
      </c>
    </row>
    <row r="82" spans="1:6" s="828" customFormat="1" ht="14.25" customHeight="1" thickBot="1">
      <c r="A82" s="840" t="s">
        <v>522</v>
      </c>
      <c r="B82" s="834" t="s">
        <v>250</v>
      </c>
      <c r="C82" s="834">
        <v>10860</v>
      </c>
      <c r="D82" s="834">
        <v>10820</v>
      </c>
      <c r="E82" s="834">
        <v>14720</v>
      </c>
      <c r="F82" s="848">
        <v>2490</v>
      </c>
    </row>
    <row r="83" spans="1:6" s="828" customFormat="1" ht="14.25" customHeight="1" thickBot="1">
      <c r="A83" s="840" t="s">
        <v>522</v>
      </c>
      <c r="B83" s="834" t="s">
        <v>261</v>
      </c>
      <c r="C83" s="834">
        <v>12810</v>
      </c>
      <c r="D83" s="834">
        <v>12760</v>
      </c>
      <c r="E83" s="834">
        <v>14830</v>
      </c>
      <c r="F83" s="848">
        <v>2450</v>
      </c>
    </row>
    <row r="84" spans="1:6" s="828" customFormat="1" ht="14.25" customHeight="1" thickBot="1">
      <c r="A84" s="840" t="s">
        <v>522</v>
      </c>
      <c r="B84" s="834" t="s">
        <v>273</v>
      </c>
      <c r="C84" s="834">
        <v>14950</v>
      </c>
      <c r="D84" s="834">
        <v>14810</v>
      </c>
      <c r="E84" s="834">
        <v>12590</v>
      </c>
      <c r="F84" s="848">
        <v>2540</v>
      </c>
    </row>
    <row r="85" spans="1:6" s="828" customFormat="1" ht="14.25" customHeight="1" thickBot="1">
      <c r="A85" s="840" t="s">
        <v>522</v>
      </c>
      <c r="B85" s="834" t="s">
        <v>283</v>
      </c>
      <c r="C85" s="834">
        <v>14960</v>
      </c>
      <c r="D85" s="834">
        <v>14890</v>
      </c>
      <c r="E85" s="834">
        <v>12840</v>
      </c>
      <c r="F85" s="848">
        <v>2840</v>
      </c>
    </row>
    <row r="86" spans="1:6" s="828" customFormat="1" ht="14.25" customHeight="1" thickBot="1">
      <c r="A86" s="840" t="s">
        <v>522</v>
      </c>
      <c r="B86" s="834" t="s">
        <v>293</v>
      </c>
      <c r="C86" s="834">
        <v>12730</v>
      </c>
      <c r="D86" s="834">
        <v>12660</v>
      </c>
      <c r="E86" s="834">
        <v>13310</v>
      </c>
      <c r="F86" s="848">
        <v>3140</v>
      </c>
    </row>
    <row r="87" spans="1:6" s="828" customFormat="1" ht="14.25" customHeight="1" thickBot="1">
      <c r="A87" s="840" t="s">
        <v>522</v>
      </c>
      <c r="B87" s="834" t="s">
        <v>303</v>
      </c>
      <c r="C87" s="834">
        <v>12940</v>
      </c>
      <c r="D87" s="834">
        <v>12890</v>
      </c>
      <c r="E87" s="834">
        <v>11580</v>
      </c>
      <c r="F87" s="852"/>
    </row>
    <row r="88" spans="1:6" s="828" customFormat="1" ht="14.25" customHeight="1" thickBot="1">
      <c r="A88" s="840" t="s">
        <v>522</v>
      </c>
      <c r="B88" s="834" t="s">
        <v>313</v>
      </c>
      <c r="C88" s="834">
        <v>13430</v>
      </c>
      <c r="D88" s="834">
        <v>13360</v>
      </c>
      <c r="E88" s="834">
        <v>12790</v>
      </c>
      <c r="F88" s="852"/>
    </row>
    <row r="89" spans="1:6" s="828" customFormat="1" ht="14.25" customHeight="1" thickBot="1">
      <c r="A89" s="840" t="s">
        <v>522</v>
      </c>
      <c r="B89" s="834" t="s">
        <v>324</v>
      </c>
      <c r="C89" s="834">
        <v>11680</v>
      </c>
      <c r="D89" s="834">
        <v>11630</v>
      </c>
      <c r="E89" s="834">
        <v>11320</v>
      </c>
      <c r="F89" s="852"/>
    </row>
    <row r="90" spans="1:6" s="828" customFormat="1" ht="14.25" customHeight="1" thickBot="1">
      <c r="A90" s="840" t="s">
        <v>522</v>
      </c>
      <c r="B90" s="834" t="s">
        <v>335</v>
      </c>
      <c r="C90" s="834">
        <v>12890</v>
      </c>
      <c r="D90" s="834">
        <v>12820</v>
      </c>
      <c r="E90" s="834">
        <v>12710</v>
      </c>
      <c r="F90" s="852"/>
    </row>
    <row r="91" spans="1:6" s="828" customFormat="1" ht="14.25" customHeight="1" thickBot="1">
      <c r="A91" s="840" t="s">
        <v>522</v>
      </c>
      <c r="B91" s="834" t="s">
        <v>345</v>
      </c>
      <c r="C91" s="834">
        <v>11410</v>
      </c>
      <c r="D91" s="834">
        <v>11360</v>
      </c>
      <c r="E91" s="834">
        <v>12670</v>
      </c>
      <c r="F91" s="852"/>
    </row>
    <row r="92" spans="1:6" s="828" customFormat="1" ht="14.25" customHeight="1" thickBot="1">
      <c r="A92" s="840" t="s">
        <v>522</v>
      </c>
      <c r="B92" s="834" t="s">
        <v>355</v>
      </c>
      <c r="C92" s="834">
        <v>12770</v>
      </c>
      <c r="D92" s="834">
        <v>12740</v>
      </c>
      <c r="E92" s="834">
        <v>11970</v>
      </c>
      <c r="F92" s="852"/>
    </row>
    <row r="93" spans="1:6" s="828" customFormat="1" ht="14.25" customHeight="1" thickBot="1">
      <c r="A93" s="840" t="s">
        <v>522</v>
      </c>
      <c r="B93" s="834" t="s">
        <v>365</v>
      </c>
      <c r="C93" s="834">
        <v>12740</v>
      </c>
      <c r="D93" s="834">
        <v>12700</v>
      </c>
      <c r="E93" s="834">
        <v>12540</v>
      </c>
      <c r="F93" s="852"/>
    </row>
    <row r="94" spans="1:6" s="828" customFormat="1" ht="14.25" customHeight="1" thickBot="1">
      <c r="A94" s="840" t="s">
        <v>522</v>
      </c>
      <c r="B94" s="834" t="s">
        <v>375</v>
      </c>
      <c r="C94" s="834">
        <v>12020</v>
      </c>
      <c r="D94" s="834">
        <v>11990</v>
      </c>
      <c r="E94" s="834">
        <v>13110</v>
      </c>
      <c r="F94" s="852"/>
    </row>
    <row r="95" spans="1:6" s="828" customFormat="1" ht="14.25" customHeight="1" thickBot="1">
      <c r="A95" s="840" t="s">
        <v>522</v>
      </c>
      <c r="B95" s="834" t="s">
        <v>384</v>
      </c>
      <c r="C95" s="834">
        <v>12620</v>
      </c>
      <c r="D95" s="834">
        <v>12580</v>
      </c>
      <c r="E95" s="834">
        <v>13160</v>
      </c>
      <c r="F95" s="848"/>
    </row>
    <row r="96" spans="1:6" s="828" customFormat="1" ht="14.25" customHeight="1" thickBot="1">
      <c r="A96" s="840" t="s">
        <v>522</v>
      </c>
      <c r="B96" s="834" t="s">
        <v>393</v>
      </c>
      <c r="C96" s="834">
        <v>13200</v>
      </c>
      <c r="D96" s="834">
        <v>13150</v>
      </c>
      <c r="E96" s="834">
        <v>12900</v>
      </c>
      <c r="F96" s="848"/>
    </row>
    <row r="97" spans="1:6" s="828" customFormat="1" ht="14.25" customHeight="1" thickBot="1">
      <c r="A97" s="840" t="s">
        <v>522</v>
      </c>
      <c r="B97" s="834" t="s">
        <v>401</v>
      </c>
      <c r="C97" s="834">
        <v>13270</v>
      </c>
      <c r="D97" s="834">
        <v>13210</v>
      </c>
      <c r="E97" s="834">
        <v>11080</v>
      </c>
      <c r="F97" s="848"/>
    </row>
    <row r="98" spans="1:6" s="828" customFormat="1" ht="14.25" customHeight="1" thickBot="1">
      <c r="A98" s="840" t="s">
        <v>522</v>
      </c>
      <c r="B98" s="834" t="s">
        <v>408</v>
      </c>
      <c r="C98" s="834">
        <v>13010</v>
      </c>
      <c r="D98" s="834">
        <v>12930</v>
      </c>
      <c r="E98" s="834">
        <v>12840</v>
      </c>
      <c r="F98" s="848"/>
    </row>
    <row r="99" spans="1:6" s="828" customFormat="1" ht="14.25" customHeight="1" thickBot="1">
      <c r="A99" s="840" t="s">
        <v>522</v>
      </c>
      <c r="B99" s="834" t="s">
        <v>415</v>
      </c>
      <c r="C99" s="834">
        <v>11190</v>
      </c>
      <c r="D99" s="834">
        <v>11130</v>
      </c>
      <c r="E99" s="834"/>
      <c r="F99" s="848"/>
    </row>
    <row r="100" spans="1:6" s="828" customFormat="1" ht="14.25" customHeight="1" thickBot="1">
      <c r="A100" s="840" t="s">
        <v>522</v>
      </c>
      <c r="B100" s="834" t="s">
        <v>422</v>
      </c>
      <c r="C100" s="834">
        <v>14280</v>
      </c>
      <c r="D100" s="834">
        <v>14180</v>
      </c>
      <c r="E100" s="834"/>
      <c r="F100" s="848"/>
    </row>
    <row r="101" spans="1:6" s="828" customFormat="1" ht="14.25" customHeight="1" thickBot="1">
      <c r="A101" s="840" t="s">
        <v>522</v>
      </c>
      <c r="B101" s="834" t="s">
        <v>429</v>
      </c>
      <c r="C101" s="834">
        <v>12960</v>
      </c>
      <c r="D101" s="834">
        <v>12890</v>
      </c>
      <c r="E101" s="834"/>
      <c r="F101" s="848"/>
    </row>
    <row r="102" spans="1:6" s="828" customFormat="1" ht="14.25" customHeight="1" thickBot="1">
      <c r="A102" s="840" t="s">
        <v>522</v>
      </c>
      <c r="B102" s="834" t="s">
        <v>436</v>
      </c>
      <c r="C102" s="834"/>
      <c r="D102" s="834"/>
      <c r="E102" s="834"/>
      <c r="F102" s="848">
        <v>3100</v>
      </c>
    </row>
    <row r="103" spans="1:6" s="828" customFormat="1" ht="14.25" customHeight="1" thickBot="1">
      <c r="A103" s="840" t="s">
        <v>522</v>
      </c>
      <c r="B103" s="834" t="s">
        <v>443</v>
      </c>
      <c r="C103" s="834"/>
      <c r="D103" s="834"/>
      <c r="E103" s="834"/>
      <c r="F103" s="848">
        <v>2320</v>
      </c>
    </row>
    <row r="104" spans="1:6" s="828" customFormat="1" ht="14.25" customHeight="1" thickBot="1">
      <c r="A104" s="840" t="s">
        <v>522</v>
      </c>
      <c r="B104" s="834" t="s">
        <v>448</v>
      </c>
      <c r="C104" s="834"/>
      <c r="D104" s="834"/>
      <c r="E104" s="834"/>
      <c r="F104" s="848">
        <v>2320</v>
      </c>
    </row>
    <row r="105" spans="1:6" s="828" customFormat="1" ht="14.25" customHeight="1" thickBot="1">
      <c r="A105" s="840" t="s">
        <v>522</v>
      </c>
      <c r="B105" s="834" t="s">
        <v>452</v>
      </c>
      <c r="C105" s="834"/>
      <c r="D105" s="834"/>
      <c r="E105" s="834"/>
      <c r="F105" s="848">
        <v>2320</v>
      </c>
    </row>
    <row r="106" spans="1:6" s="828" customFormat="1" ht="14.25" customHeight="1" thickBot="1">
      <c r="A106" s="840" t="s">
        <v>522</v>
      </c>
      <c r="B106" s="834" t="s">
        <v>457</v>
      </c>
      <c r="C106" s="834"/>
      <c r="D106" s="834"/>
      <c r="E106" s="834"/>
      <c r="F106" s="848">
        <v>2320</v>
      </c>
    </row>
    <row r="107" spans="1:6" s="828" customFormat="1" ht="14.25" customHeight="1" thickBot="1">
      <c r="A107" s="840" t="s">
        <v>522</v>
      </c>
      <c r="B107" s="834" t="s">
        <v>462</v>
      </c>
      <c r="C107" s="834"/>
      <c r="D107" s="834"/>
      <c r="E107" s="834"/>
      <c r="F107" s="848">
        <v>2280</v>
      </c>
    </row>
    <row r="108" spans="1:6" s="828" customFormat="1" ht="14.25" customHeight="1" thickBot="1">
      <c r="A108" s="840" t="s">
        <v>522</v>
      </c>
      <c r="B108" s="834" t="s">
        <v>467</v>
      </c>
      <c r="C108" s="834"/>
      <c r="D108" s="834"/>
      <c r="E108" s="834"/>
      <c r="F108" s="848">
        <v>2280</v>
      </c>
    </row>
    <row r="109" spans="1:6" s="828" customFormat="1" ht="14.25" customHeight="1" thickBot="1">
      <c r="A109" s="840" t="s">
        <v>522</v>
      </c>
      <c r="B109" s="846" t="s">
        <v>472</v>
      </c>
      <c r="C109" s="846"/>
      <c r="D109" s="846"/>
      <c r="E109" s="846"/>
      <c r="F109" s="851">
        <v>2280</v>
      </c>
    </row>
    <row r="110" spans="1:6" s="828" customFormat="1" ht="14.25" customHeight="1" thickBot="1">
      <c r="A110" s="840" t="s">
        <v>55</v>
      </c>
      <c r="B110" s="841" t="s">
        <v>524</v>
      </c>
      <c r="C110" s="841">
        <v>10520</v>
      </c>
      <c r="D110" s="841">
        <v>10490</v>
      </c>
      <c r="E110" s="841">
        <v>10760</v>
      </c>
      <c r="F110" s="842">
        <v>2160</v>
      </c>
    </row>
    <row r="111" spans="1:6" s="828" customFormat="1" ht="14.25" customHeight="1" thickBot="1">
      <c r="A111" s="840" t="s">
        <v>55</v>
      </c>
      <c r="B111" s="834" t="s">
        <v>191</v>
      </c>
      <c r="C111" s="834">
        <v>10090</v>
      </c>
      <c r="D111" s="834">
        <v>10060</v>
      </c>
      <c r="E111" s="834">
        <v>10300</v>
      </c>
      <c r="F111" s="848">
        <v>2010</v>
      </c>
    </row>
    <row r="112" spans="1:6" s="828" customFormat="1" ht="14.25" customHeight="1" thickBot="1">
      <c r="A112" s="840" t="s">
        <v>55</v>
      </c>
      <c r="B112" s="834" t="s">
        <v>204</v>
      </c>
      <c r="C112" s="834">
        <v>9910</v>
      </c>
      <c r="D112" s="834">
        <v>9850</v>
      </c>
      <c r="E112" s="834">
        <v>9960</v>
      </c>
      <c r="F112" s="848">
        <v>2090</v>
      </c>
    </row>
    <row r="113" spans="1:6" s="828" customFormat="1" ht="14.25" customHeight="1" thickBot="1">
      <c r="A113" s="840" t="s">
        <v>55</v>
      </c>
      <c r="B113" s="834" t="s">
        <v>217</v>
      </c>
      <c r="C113" s="834">
        <v>11430</v>
      </c>
      <c r="D113" s="834">
        <v>11400</v>
      </c>
      <c r="E113" s="834">
        <v>11710</v>
      </c>
      <c r="F113" s="848">
        <v>2050</v>
      </c>
    </row>
    <row r="114" spans="1:6" s="828" customFormat="1" ht="14.25" customHeight="1" thickBot="1">
      <c r="A114" s="840" t="s">
        <v>55</v>
      </c>
      <c r="B114" s="834" t="s">
        <v>229</v>
      </c>
      <c r="C114" s="834">
        <v>11390</v>
      </c>
      <c r="D114" s="834">
        <v>11350</v>
      </c>
      <c r="E114" s="834">
        <v>11640</v>
      </c>
      <c r="F114" s="848">
        <v>1620</v>
      </c>
    </row>
    <row r="115" spans="1:6" s="828" customFormat="1" ht="14.25" customHeight="1" thickBot="1">
      <c r="A115" s="840" t="s">
        <v>55</v>
      </c>
      <c r="B115" s="834" t="s">
        <v>240</v>
      </c>
      <c r="C115" s="834">
        <v>9930</v>
      </c>
      <c r="D115" s="834">
        <v>9900</v>
      </c>
      <c r="E115" s="834">
        <v>10160</v>
      </c>
      <c r="F115" s="848">
        <v>1580</v>
      </c>
    </row>
    <row r="116" spans="1:6" s="828" customFormat="1" ht="14.25" customHeight="1" thickBot="1">
      <c r="A116" s="840" t="s">
        <v>55</v>
      </c>
      <c r="B116" s="834" t="s">
        <v>251</v>
      </c>
      <c r="C116" s="834">
        <v>9150</v>
      </c>
      <c r="D116" s="834">
        <v>9120</v>
      </c>
      <c r="E116" s="834">
        <v>9380</v>
      </c>
      <c r="F116" s="848">
        <v>1750</v>
      </c>
    </row>
    <row r="117" spans="1:6" s="828" customFormat="1" ht="14.25" customHeight="1" thickBot="1">
      <c r="A117" s="840" t="s">
        <v>55</v>
      </c>
      <c r="B117" s="834" t="s">
        <v>262</v>
      </c>
      <c r="C117" s="834">
        <v>10680</v>
      </c>
      <c r="D117" s="834">
        <v>10650</v>
      </c>
      <c r="E117" s="834">
        <v>10970</v>
      </c>
      <c r="F117" s="848">
        <v>1730</v>
      </c>
    </row>
    <row r="118" spans="1:6" s="828" customFormat="1" ht="14.25" customHeight="1" thickBot="1">
      <c r="A118" s="840" t="s">
        <v>55</v>
      </c>
      <c r="B118" s="834" t="s">
        <v>274</v>
      </c>
      <c r="C118" s="834">
        <v>10080</v>
      </c>
      <c r="D118" s="834">
        <v>10050</v>
      </c>
      <c r="E118" s="834">
        <v>10350</v>
      </c>
      <c r="F118" s="848">
        <v>1920</v>
      </c>
    </row>
    <row r="119" spans="1:6" s="828" customFormat="1" ht="14.25" customHeight="1" thickBot="1">
      <c r="A119" s="840" t="s">
        <v>55</v>
      </c>
      <c r="B119" s="834" t="s">
        <v>284</v>
      </c>
      <c r="C119" s="834">
        <v>9450</v>
      </c>
      <c r="D119" s="834">
        <v>9410</v>
      </c>
      <c r="E119" s="834">
        <v>9680</v>
      </c>
      <c r="F119" s="848">
        <v>1880</v>
      </c>
    </row>
    <row r="120" spans="1:6" s="828" customFormat="1" ht="14.25" customHeight="1" thickBot="1">
      <c r="A120" s="840" t="s">
        <v>55</v>
      </c>
      <c r="B120" s="834" t="s">
        <v>294</v>
      </c>
      <c r="C120" s="834">
        <v>8730</v>
      </c>
      <c r="D120" s="834">
        <v>8700</v>
      </c>
      <c r="E120" s="834">
        <v>8950</v>
      </c>
      <c r="F120" s="848">
        <v>1830</v>
      </c>
    </row>
    <row r="121" spans="1:6" s="828" customFormat="1" ht="14.25" customHeight="1" thickBot="1">
      <c r="A121" s="840" t="s">
        <v>55</v>
      </c>
      <c r="B121" s="834" t="s">
        <v>304</v>
      </c>
      <c r="C121" s="834">
        <v>10070</v>
      </c>
      <c r="D121" s="834">
        <v>10040</v>
      </c>
      <c r="E121" s="834">
        <v>10270</v>
      </c>
      <c r="F121" s="848">
        <v>1960</v>
      </c>
    </row>
    <row r="122" spans="1:6" s="828" customFormat="1" ht="14.25" customHeight="1" thickBot="1">
      <c r="A122" s="840" t="s">
        <v>55</v>
      </c>
      <c r="B122" s="834" t="s">
        <v>314</v>
      </c>
      <c r="C122" s="834">
        <v>10500</v>
      </c>
      <c r="D122" s="834">
        <v>10470</v>
      </c>
      <c r="E122" s="834">
        <v>10780</v>
      </c>
      <c r="F122" s="848">
        <v>2180</v>
      </c>
    </row>
    <row r="123" spans="1:6" s="828" customFormat="1" ht="14.25" customHeight="1" thickBot="1">
      <c r="A123" s="840" t="s">
        <v>55</v>
      </c>
      <c r="B123" s="834" t="s">
        <v>325</v>
      </c>
      <c r="C123" s="834">
        <v>10390</v>
      </c>
      <c r="D123" s="834">
        <v>10360</v>
      </c>
      <c r="E123" s="834">
        <v>10660</v>
      </c>
      <c r="F123" s="848">
        <v>2040</v>
      </c>
    </row>
    <row r="124" spans="1:6" s="828" customFormat="1" ht="14.25" customHeight="1" thickBot="1">
      <c r="A124" s="840" t="s">
        <v>55</v>
      </c>
      <c r="B124" s="834" t="s">
        <v>336</v>
      </c>
      <c r="C124" s="834">
        <v>10390</v>
      </c>
      <c r="D124" s="834">
        <v>10360</v>
      </c>
      <c r="E124" s="834">
        <v>10680</v>
      </c>
      <c r="F124" s="852"/>
    </row>
    <row r="125" spans="1:6" s="828" customFormat="1" ht="14.25" customHeight="1" thickBot="1">
      <c r="A125" s="840" t="s">
        <v>55</v>
      </c>
      <c r="B125" s="834" t="s">
        <v>346</v>
      </c>
      <c r="C125" s="834">
        <v>10440</v>
      </c>
      <c r="D125" s="834">
        <v>10410</v>
      </c>
      <c r="E125" s="834">
        <v>10710</v>
      </c>
      <c r="F125" s="852"/>
    </row>
    <row r="126" spans="1:6" s="828" customFormat="1" ht="14.25" customHeight="1" thickBot="1">
      <c r="A126" s="840" t="s">
        <v>55</v>
      </c>
      <c r="B126" s="834" t="s">
        <v>356</v>
      </c>
      <c r="C126" s="834">
        <v>10780</v>
      </c>
      <c r="D126" s="834">
        <v>10750</v>
      </c>
      <c r="E126" s="834">
        <v>11080</v>
      </c>
      <c r="F126" s="852"/>
    </row>
    <row r="127" spans="1:6" s="828" customFormat="1" ht="14.25" customHeight="1" thickBot="1">
      <c r="A127" s="840" t="s">
        <v>55</v>
      </c>
      <c r="B127" s="834" t="s">
        <v>366</v>
      </c>
      <c r="C127" s="834">
        <v>10100</v>
      </c>
      <c r="D127" s="834">
        <v>10070</v>
      </c>
      <c r="E127" s="834">
        <v>10350</v>
      </c>
      <c r="F127" s="852"/>
    </row>
    <row r="128" spans="1:6" s="828" customFormat="1" ht="14.25" customHeight="1" thickBot="1">
      <c r="A128" s="840" t="s">
        <v>55</v>
      </c>
      <c r="B128" s="834" t="s">
        <v>376</v>
      </c>
      <c r="C128" s="834">
        <v>9200</v>
      </c>
      <c r="D128" s="834">
        <v>9160</v>
      </c>
      <c r="E128" s="834">
        <v>9660</v>
      </c>
      <c r="F128" s="852"/>
    </row>
    <row r="129" spans="1:6" s="828" customFormat="1" ht="14.25" customHeight="1" thickBot="1">
      <c r="A129" s="840" t="s">
        <v>55</v>
      </c>
      <c r="B129" s="834" t="s">
        <v>385</v>
      </c>
      <c r="C129" s="834">
        <v>10340</v>
      </c>
      <c r="D129" s="834">
        <v>10310</v>
      </c>
      <c r="E129" s="834">
        <v>10580</v>
      </c>
      <c r="F129" s="852"/>
    </row>
    <row r="130" spans="1:6" s="828" customFormat="1" ht="14.25" customHeight="1" thickBot="1">
      <c r="A130" s="840" t="s">
        <v>55</v>
      </c>
      <c r="B130" s="834" t="s">
        <v>394</v>
      </c>
      <c r="C130" s="834">
        <v>9680</v>
      </c>
      <c r="D130" s="834">
        <v>9660</v>
      </c>
      <c r="E130" s="834">
        <v>9950</v>
      </c>
      <c r="F130" s="852"/>
    </row>
    <row r="131" spans="1:6" s="828" customFormat="1" ht="14.25" customHeight="1" thickBot="1">
      <c r="A131" s="840" t="s">
        <v>55</v>
      </c>
      <c r="B131" s="834" t="s">
        <v>402</v>
      </c>
      <c r="C131" s="834">
        <v>9540</v>
      </c>
      <c r="D131" s="834">
        <v>9510</v>
      </c>
      <c r="E131" s="834">
        <v>9790</v>
      </c>
      <c r="F131" s="852"/>
    </row>
    <row r="132" spans="1:6" s="828" customFormat="1" ht="14.25" customHeight="1" thickBot="1">
      <c r="A132" s="840" t="s">
        <v>55</v>
      </c>
      <c r="B132" s="834" t="s">
        <v>409</v>
      </c>
      <c r="C132" s="834">
        <v>9320</v>
      </c>
      <c r="D132" s="834">
        <v>9290</v>
      </c>
      <c r="E132" s="834">
        <v>9570</v>
      </c>
      <c r="F132" s="852"/>
    </row>
    <row r="133" spans="1:6" s="828" customFormat="1" ht="14.25" customHeight="1" thickBot="1">
      <c r="A133" s="840" t="s">
        <v>55</v>
      </c>
      <c r="B133" s="834" t="s">
        <v>416</v>
      </c>
      <c r="C133" s="834">
        <v>10310</v>
      </c>
      <c r="D133" s="834">
        <v>10280</v>
      </c>
      <c r="E133" s="834">
        <v>10530</v>
      </c>
      <c r="F133" s="852"/>
    </row>
    <row r="134" spans="1:6" s="828" customFormat="1" ht="14.25" customHeight="1" thickBot="1">
      <c r="A134" s="840" t="s">
        <v>55</v>
      </c>
      <c r="B134" s="834" t="s">
        <v>423</v>
      </c>
      <c r="C134" s="834">
        <v>10370</v>
      </c>
      <c r="D134" s="834">
        <v>10310</v>
      </c>
      <c r="E134" s="834">
        <v>10240</v>
      </c>
      <c r="F134" s="848">
        <v>2060</v>
      </c>
    </row>
    <row r="135" spans="1:6" s="828" customFormat="1" ht="14.25" customHeight="1" thickBot="1">
      <c r="A135" s="840" t="s">
        <v>55</v>
      </c>
      <c r="B135" s="834" t="s">
        <v>430</v>
      </c>
      <c r="C135" s="834">
        <v>9300</v>
      </c>
      <c r="D135" s="834">
        <v>9270</v>
      </c>
      <c r="E135" s="834">
        <v>9350</v>
      </c>
      <c r="F135" s="852"/>
    </row>
    <row r="136" spans="1:6" s="828" customFormat="1" ht="14.25" customHeight="1" thickBot="1">
      <c r="A136" s="840" t="s">
        <v>55</v>
      </c>
      <c r="B136" s="834" t="s">
        <v>437</v>
      </c>
      <c r="C136" s="834">
        <v>10160</v>
      </c>
      <c r="D136" s="834">
        <v>10110</v>
      </c>
      <c r="E136" s="834">
        <v>10080</v>
      </c>
      <c r="F136" s="852"/>
    </row>
    <row r="137" spans="1:6" s="828" customFormat="1" ht="14.25" customHeight="1" thickBot="1">
      <c r="A137" s="840" t="s">
        <v>55</v>
      </c>
      <c r="B137" s="834" t="s">
        <v>444</v>
      </c>
      <c r="C137" s="834">
        <v>9200</v>
      </c>
      <c r="D137" s="834">
        <v>9170</v>
      </c>
      <c r="E137" s="834">
        <v>9450</v>
      </c>
      <c r="F137" s="852"/>
    </row>
    <row r="138" spans="1:6" s="828" customFormat="1" ht="14.25" customHeight="1" thickBot="1">
      <c r="A138" s="840" t="s">
        <v>55</v>
      </c>
      <c r="B138" s="834" t="s">
        <v>449</v>
      </c>
      <c r="C138" s="834">
        <v>9690</v>
      </c>
      <c r="D138" s="834">
        <v>9660</v>
      </c>
      <c r="E138" s="834">
        <v>9840</v>
      </c>
      <c r="F138" s="852"/>
    </row>
    <row r="139" spans="1:6" s="828" customFormat="1" ht="14.25" customHeight="1" thickBot="1">
      <c r="A139" s="840" t="s">
        <v>55</v>
      </c>
      <c r="B139" s="834" t="s">
        <v>453</v>
      </c>
      <c r="C139" s="834">
        <v>10290</v>
      </c>
      <c r="D139" s="834">
        <v>10260</v>
      </c>
      <c r="E139" s="834">
        <v>10550</v>
      </c>
      <c r="F139" s="848">
        <v>1700</v>
      </c>
    </row>
    <row r="140" spans="1:6" s="828" customFormat="1" ht="14.25" customHeight="1" thickBot="1">
      <c r="A140" s="840" t="s">
        <v>55</v>
      </c>
      <c r="B140" s="834" t="s">
        <v>458</v>
      </c>
      <c r="C140" s="834">
        <v>9740</v>
      </c>
      <c r="D140" s="834">
        <v>9710</v>
      </c>
      <c r="E140" s="834">
        <v>10000</v>
      </c>
      <c r="F140" s="848">
        <v>2000</v>
      </c>
    </row>
    <row r="141" spans="1:6" s="828" customFormat="1" ht="14.25" customHeight="1" thickBot="1">
      <c r="A141" s="840" t="s">
        <v>55</v>
      </c>
      <c r="B141" s="834" t="s">
        <v>463</v>
      </c>
      <c r="C141" s="834">
        <v>9810</v>
      </c>
      <c r="D141" s="834">
        <v>9770</v>
      </c>
      <c r="E141" s="834">
        <v>10060</v>
      </c>
      <c r="F141" s="852"/>
    </row>
    <row r="142" spans="1:6" s="828" customFormat="1" ht="14.25" customHeight="1" thickBot="1">
      <c r="A142" s="840" t="s">
        <v>55</v>
      </c>
      <c r="B142" s="834" t="s">
        <v>468</v>
      </c>
      <c r="C142" s="834">
        <v>9300</v>
      </c>
      <c r="D142" s="834">
        <v>9270</v>
      </c>
      <c r="E142" s="834">
        <v>9530</v>
      </c>
      <c r="F142" s="852"/>
    </row>
    <row r="143" spans="1:6" s="828" customFormat="1" ht="14.25" customHeight="1" thickBot="1">
      <c r="A143" s="840" t="s">
        <v>55</v>
      </c>
      <c r="B143" s="834" t="s">
        <v>473</v>
      </c>
      <c r="C143" s="834">
        <v>10080</v>
      </c>
      <c r="D143" s="834">
        <v>10050</v>
      </c>
      <c r="E143" s="834">
        <v>10340</v>
      </c>
      <c r="F143" s="852"/>
    </row>
    <row r="144" spans="1:6" s="828" customFormat="1" ht="14.25" customHeight="1" thickBot="1">
      <c r="A144" s="840" t="s">
        <v>55</v>
      </c>
      <c r="B144" s="834" t="s">
        <v>477</v>
      </c>
      <c r="C144" s="834">
        <v>9820</v>
      </c>
      <c r="D144" s="834">
        <v>9750</v>
      </c>
      <c r="E144" s="834">
        <v>9900</v>
      </c>
      <c r="F144" s="852"/>
    </row>
    <row r="145" spans="1:6" s="828" customFormat="1" ht="14.25" customHeight="1" thickBot="1">
      <c r="A145" s="840" t="s">
        <v>55</v>
      </c>
      <c r="B145" s="834" t="s">
        <v>481</v>
      </c>
      <c r="C145" s="834"/>
      <c r="D145" s="834"/>
      <c r="E145" s="834"/>
      <c r="F145" s="848">
        <v>1740</v>
      </c>
    </row>
    <row r="146" spans="1:6" s="828" customFormat="1" ht="14.25" customHeight="1" thickBot="1">
      <c r="A146" s="840" t="s">
        <v>55</v>
      </c>
      <c r="B146" s="834" t="s">
        <v>485</v>
      </c>
      <c r="C146" s="834"/>
      <c r="D146" s="834"/>
      <c r="E146" s="834"/>
      <c r="F146" s="848">
        <v>1740</v>
      </c>
    </row>
    <row r="147" spans="1:6" s="828" customFormat="1" ht="14.25" customHeight="1" thickBot="1">
      <c r="A147" s="840" t="s">
        <v>55</v>
      </c>
      <c r="B147" s="834" t="s">
        <v>489</v>
      </c>
      <c r="C147" s="834"/>
      <c r="D147" s="834"/>
      <c r="E147" s="834"/>
      <c r="F147" s="848">
        <v>1740</v>
      </c>
    </row>
    <row r="148" spans="1:6" s="828" customFormat="1" ht="14.25" customHeight="1" thickBot="1">
      <c r="A148" s="840" t="s">
        <v>55</v>
      </c>
      <c r="B148" s="834" t="s">
        <v>493</v>
      </c>
      <c r="C148" s="834"/>
      <c r="D148" s="834"/>
      <c r="E148" s="834"/>
      <c r="F148" s="848">
        <v>1740</v>
      </c>
    </row>
    <row r="149" spans="1:6" s="828" customFormat="1" ht="14.25" customHeight="1" thickBot="1">
      <c r="A149" s="840" t="s">
        <v>55</v>
      </c>
      <c r="B149" s="834" t="s">
        <v>497</v>
      </c>
      <c r="C149" s="834"/>
      <c r="D149" s="834"/>
      <c r="E149" s="834"/>
      <c r="F149" s="848">
        <v>1740</v>
      </c>
    </row>
    <row r="150" spans="1:6" s="828" customFormat="1" ht="14.25" customHeight="1" thickBot="1">
      <c r="A150" s="840" t="s">
        <v>55</v>
      </c>
      <c r="B150" s="834" t="s">
        <v>500</v>
      </c>
      <c r="C150" s="834"/>
      <c r="D150" s="834"/>
      <c r="E150" s="834"/>
      <c r="F150" s="848">
        <v>1610</v>
      </c>
    </row>
    <row r="151" spans="1:6" s="828" customFormat="1" ht="14.25" customHeight="1" thickBot="1">
      <c r="A151" s="840" t="s">
        <v>55</v>
      </c>
      <c r="B151" s="834" t="s">
        <v>503</v>
      </c>
      <c r="C151" s="834"/>
      <c r="D151" s="834"/>
      <c r="E151" s="834"/>
      <c r="F151" s="848">
        <v>1610</v>
      </c>
    </row>
    <row r="152" spans="1:6" s="828" customFormat="1" ht="14.25" customHeight="1" thickBot="1">
      <c r="A152" s="840" t="s">
        <v>55</v>
      </c>
      <c r="B152" s="834" t="s">
        <v>506</v>
      </c>
      <c r="C152" s="834"/>
      <c r="D152" s="834"/>
      <c r="E152" s="834"/>
      <c r="F152" s="848">
        <v>1610</v>
      </c>
    </row>
    <row r="153" spans="1:6" s="828" customFormat="1" ht="14.25" customHeight="1" thickBot="1">
      <c r="A153" s="840" t="s">
        <v>55</v>
      </c>
      <c r="B153" s="834" t="s">
        <v>509</v>
      </c>
      <c r="C153" s="834"/>
      <c r="D153" s="834"/>
      <c r="E153" s="834"/>
      <c r="F153" s="848">
        <v>1610</v>
      </c>
    </row>
    <row r="154" spans="1:6" s="828" customFormat="1" ht="14.25" customHeight="1" thickBot="1">
      <c r="A154" s="840" t="s">
        <v>55</v>
      </c>
      <c r="B154" s="834" t="s">
        <v>512</v>
      </c>
      <c r="C154" s="834"/>
      <c r="D154" s="834"/>
      <c r="E154" s="834"/>
      <c r="F154" s="848">
        <v>1610</v>
      </c>
    </row>
    <row r="155" spans="1:6" s="828" customFormat="1" ht="14.25" customHeight="1" thickBot="1">
      <c r="A155" s="840" t="s">
        <v>55</v>
      </c>
      <c r="B155" s="834" t="s">
        <v>515</v>
      </c>
      <c r="C155" s="834"/>
      <c r="D155" s="834"/>
      <c r="E155" s="834"/>
      <c r="F155" s="848">
        <v>1800</v>
      </c>
    </row>
    <row r="156" spans="1:6" s="828" customFormat="1" ht="14.25" customHeight="1" thickBot="1">
      <c r="A156" s="840" t="s">
        <v>55</v>
      </c>
      <c r="B156" s="834" t="s">
        <v>517</v>
      </c>
      <c r="C156" s="834"/>
      <c r="D156" s="834"/>
      <c r="E156" s="834"/>
      <c r="F156" s="848">
        <v>1910</v>
      </c>
    </row>
    <row r="157" spans="1:6" s="828" customFormat="1" ht="14.25" customHeight="1" thickBot="1">
      <c r="A157" s="840" t="s">
        <v>55</v>
      </c>
      <c r="B157" s="846" t="s">
        <v>520</v>
      </c>
      <c r="C157" s="846"/>
      <c r="D157" s="846"/>
      <c r="E157" s="846"/>
      <c r="F157" s="851">
        <v>1500</v>
      </c>
    </row>
    <row r="158" spans="1:6" s="828" customFormat="1" ht="14.25" customHeight="1" thickBot="1">
      <c r="A158" s="840" t="s">
        <v>525</v>
      </c>
      <c r="B158" s="841" t="s">
        <v>526</v>
      </c>
      <c r="C158" s="841">
        <v>8170</v>
      </c>
      <c r="D158" s="841">
        <v>8140</v>
      </c>
      <c r="E158" s="841">
        <v>8590</v>
      </c>
      <c r="F158" s="842">
        <v>1450</v>
      </c>
    </row>
    <row r="159" spans="1:6" s="828" customFormat="1" ht="14.25" customHeight="1" thickBot="1">
      <c r="A159" s="840" t="s">
        <v>525</v>
      </c>
      <c r="B159" s="834" t="s">
        <v>192</v>
      </c>
      <c r="C159" s="834">
        <v>7410</v>
      </c>
      <c r="D159" s="834">
        <v>7370</v>
      </c>
      <c r="E159" s="834">
        <v>8030</v>
      </c>
      <c r="F159" s="848">
        <v>1510</v>
      </c>
    </row>
    <row r="160" spans="1:6" s="828" customFormat="1" ht="14.25" customHeight="1" thickBot="1">
      <c r="A160" s="840" t="s">
        <v>525</v>
      </c>
      <c r="B160" s="834" t="s">
        <v>205</v>
      </c>
      <c r="C160" s="834">
        <v>7240</v>
      </c>
      <c r="D160" s="834">
        <v>7210</v>
      </c>
      <c r="E160" s="834">
        <v>7860</v>
      </c>
      <c r="F160" s="848">
        <v>1370</v>
      </c>
    </row>
    <row r="161" spans="1:6" s="828" customFormat="1" ht="14.25" customHeight="1" thickBot="1">
      <c r="A161" s="840" t="s">
        <v>525</v>
      </c>
      <c r="B161" s="834" t="s">
        <v>218</v>
      </c>
      <c r="C161" s="834">
        <v>7720</v>
      </c>
      <c r="D161" s="834">
        <v>7690</v>
      </c>
      <c r="E161" s="834">
        <v>8200</v>
      </c>
      <c r="F161" s="848">
        <v>1190</v>
      </c>
    </row>
    <row r="162" spans="1:6" s="828" customFormat="1" ht="14.25" customHeight="1" thickBot="1">
      <c r="A162" s="840" t="s">
        <v>525</v>
      </c>
      <c r="B162" s="834" t="s">
        <v>230</v>
      </c>
      <c r="C162" s="834">
        <v>6900</v>
      </c>
      <c r="D162" s="834">
        <v>6870</v>
      </c>
      <c r="E162" s="834">
        <v>7500</v>
      </c>
      <c r="F162" s="848">
        <v>1390</v>
      </c>
    </row>
    <row r="163" spans="1:6" s="828" customFormat="1" ht="14.25" customHeight="1" thickBot="1">
      <c r="A163" s="840" t="s">
        <v>525</v>
      </c>
      <c r="B163" s="834" t="s">
        <v>241</v>
      </c>
      <c r="C163" s="834">
        <v>7120</v>
      </c>
      <c r="D163" s="834">
        <v>7090</v>
      </c>
      <c r="E163" s="834">
        <v>7690</v>
      </c>
      <c r="F163" s="848">
        <v>1230</v>
      </c>
    </row>
    <row r="164" spans="1:6" s="828" customFormat="1" ht="14.25" customHeight="1" thickBot="1">
      <c r="A164" s="840" t="s">
        <v>525</v>
      </c>
      <c r="B164" s="834" t="s">
        <v>252</v>
      </c>
      <c r="C164" s="834">
        <v>6560</v>
      </c>
      <c r="D164" s="834">
        <v>6530</v>
      </c>
      <c r="E164" s="834">
        <v>7110</v>
      </c>
      <c r="F164" s="848">
        <v>1340</v>
      </c>
    </row>
    <row r="165" spans="1:6" s="828" customFormat="1" ht="14.25" customHeight="1" thickBot="1">
      <c r="A165" s="840" t="s">
        <v>525</v>
      </c>
      <c r="B165" s="834" t="s">
        <v>263</v>
      </c>
      <c r="C165" s="834">
        <v>7450</v>
      </c>
      <c r="D165" s="834">
        <v>7430</v>
      </c>
      <c r="E165" s="834">
        <v>8110</v>
      </c>
      <c r="F165" s="848">
        <v>1290</v>
      </c>
    </row>
    <row r="166" spans="1:6" s="828" customFormat="1" ht="14.25" customHeight="1" thickBot="1">
      <c r="A166" s="840" t="s">
        <v>525</v>
      </c>
      <c r="B166" s="834" t="s">
        <v>275</v>
      </c>
      <c r="C166" s="834">
        <v>7490</v>
      </c>
      <c r="D166" s="834">
        <v>7460</v>
      </c>
      <c r="E166" s="834">
        <v>8150</v>
      </c>
      <c r="F166" s="848">
        <v>1350</v>
      </c>
    </row>
    <row r="167" spans="1:6" s="828" customFormat="1" ht="14.25" customHeight="1" thickBot="1">
      <c r="A167" s="840" t="s">
        <v>525</v>
      </c>
      <c r="B167" s="834" t="s">
        <v>285</v>
      </c>
      <c r="C167" s="834">
        <v>7540</v>
      </c>
      <c r="D167" s="834">
        <v>7510</v>
      </c>
      <c r="E167" s="834">
        <v>8030</v>
      </c>
      <c r="F167" s="852"/>
    </row>
    <row r="168" spans="1:6" s="828" customFormat="1" ht="14.25" customHeight="1" thickBot="1">
      <c r="A168" s="840" t="s">
        <v>525</v>
      </c>
      <c r="B168" s="834" t="s">
        <v>295</v>
      </c>
      <c r="C168" s="834">
        <v>7210</v>
      </c>
      <c r="D168" s="834">
        <v>7180</v>
      </c>
      <c r="E168" s="834">
        <v>7830</v>
      </c>
      <c r="F168" s="852"/>
    </row>
    <row r="169" spans="1:6" s="828" customFormat="1" ht="14.25" customHeight="1" thickBot="1">
      <c r="A169" s="840" t="s">
        <v>525</v>
      </c>
      <c r="B169" s="834" t="s">
        <v>305</v>
      </c>
      <c r="C169" s="834">
        <v>7040</v>
      </c>
      <c r="D169" s="834">
        <v>7020</v>
      </c>
      <c r="E169" s="834">
        <v>7670</v>
      </c>
      <c r="F169" s="852"/>
    </row>
    <row r="170" spans="1:6" s="828" customFormat="1" ht="14.25" customHeight="1" thickBot="1">
      <c r="A170" s="840" t="s">
        <v>525</v>
      </c>
      <c r="B170" s="834" t="s">
        <v>315</v>
      </c>
      <c r="C170" s="834">
        <v>8040</v>
      </c>
      <c r="D170" s="834">
        <v>7190</v>
      </c>
      <c r="E170" s="834">
        <v>7850</v>
      </c>
      <c r="F170" s="852"/>
    </row>
    <row r="171" spans="1:6" s="828" customFormat="1" ht="14.25" customHeight="1" thickBot="1">
      <c r="A171" s="840" t="s">
        <v>525</v>
      </c>
      <c r="B171" s="834" t="s">
        <v>326</v>
      </c>
      <c r="C171" s="834">
        <v>7860</v>
      </c>
      <c r="D171" s="834">
        <v>7720</v>
      </c>
      <c r="E171" s="834">
        <v>8150</v>
      </c>
      <c r="F171" s="848">
        <v>1110</v>
      </c>
    </row>
    <row r="172" spans="1:6" s="828" customFormat="1" ht="14.25" customHeight="1" thickBot="1">
      <c r="A172" s="840" t="s">
        <v>525</v>
      </c>
      <c r="B172" s="834" t="s">
        <v>337</v>
      </c>
      <c r="C172" s="834">
        <v>7210</v>
      </c>
      <c r="D172" s="834">
        <v>7170</v>
      </c>
      <c r="E172" s="834">
        <v>7320</v>
      </c>
      <c r="F172" s="852"/>
    </row>
    <row r="173" spans="1:6" s="828" customFormat="1" ht="14.25" customHeight="1" thickBot="1">
      <c r="A173" s="840" t="s">
        <v>525</v>
      </c>
      <c r="B173" s="834" t="s">
        <v>347</v>
      </c>
      <c r="C173" s="834">
        <v>6860</v>
      </c>
      <c r="D173" s="834">
        <v>6810</v>
      </c>
      <c r="E173" s="834">
        <v>7440</v>
      </c>
      <c r="F173" s="852"/>
    </row>
    <row r="174" spans="1:6" s="828" customFormat="1" ht="14.25" customHeight="1" thickBot="1">
      <c r="A174" s="840" t="s">
        <v>525</v>
      </c>
      <c r="B174" s="834" t="s">
        <v>357</v>
      </c>
      <c r="C174" s="834">
        <v>7120</v>
      </c>
      <c r="D174" s="834">
        <v>7090</v>
      </c>
      <c r="E174" s="834">
        <v>7500</v>
      </c>
      <c r="F174" s="848">
        <v>1490</v>
      </c>
    </row>
    <row r="175" spans="1:6" s="828" customFormat="1" ht="14.25" customHeight="1" thickBot="1">
      <c r="A175" s="840" t="s">
        <v>525</v>
      </c>
      <c r="B175" s="834" t="s">
        <v>367</v>
      </c>
      <c r="C175" s="834">
        <v>7850</v>
      </c>
      <c r="D175" s="834">
        <v>7820</v>
      </c>
      <c r="E175" s="834">
        <v>8120</v>
      </c>
      <c r="F175" s="848">
        <v>1530</v>
      </c>
    </row>
    <row r="176" spans="1:6" s="828" customFormat="1" ht="14.25" customHeight="1" thickBot="1">
      <c r="A176" s="840" t="s">
        <v>525</v>
      </c>
      <c r="B176" s="834" t="s">
        <v>377</v>
      </c>
      <c r="C176" s="834">
        <v>7620</v>
      </c>
      <c r="D176" s="834">
        <v>7570</v>
      </c>
      <c r="E176" s="834">
        <v>7990</v>
      </c>
      <c r="F176" s="848">
        <v>1480</v>
      </c>
    </row>
    <row r="177" spans="1:6" s="828" customFormat="1" ht="14.25" customHeight="1" thickBot="1">
      <c r="A177" s="840" t="s">
        <v>525</v>
      </c>
      <c r="B177" s="834" t="s">
        <v>386</v>
      </c>
      <c r="C177" s="834">
        <v>8590</v>
      </c>
      <c r="D177" s="834">
        <v>8570</v>
      </c>
      <c r="E177" s="834">
        <v>8740</v>
      </c>
      <c r="F177" s="848">
        <v>1540</v>
      </c>
    </row>
    <row r="178" spans="1:6" s="828" customFormat="1" ht="14.25" customHeight="1" thickBot="1">
      <c r="A178" s="840" t="s">
        <v>525</v>
      </c>
      <c r="B178" s="834" t="s">
        <v>395</v>
      </c>
      <c r="C178" s="834">
        <v>7510</v>
      </c>
      <c r="D178" s="834">
        <v>7470</v>
      </c>
      <c r="E178" s="834">
        <v>8090</v>
      </c>
      <c r="F178" s="848">
        <v>1320</v>
      </c>
    </row>
    <row r="179" spans="1:6" s="828" customFormat="1" ht="14.25" customHeight="1" thickBot="1">
      <c r="A179" s="840" t="s">
        <v>525</v>
      </c>
      <c r="B179" s="834" t="s">
        <v>403</v>
      </c>
      <c r="C179" s="834">
        <v>6380</v>
      </c>
      <c r="D179" s="834">
        <v>6340</v>
      </c>
      <c r="E179" s="834">
        <v>6810</v>
      </c>
      <c r="F179" s="852"/>
    </row>
    <row r="180" spans="1:6" s="828" customFormat="1" ht="14.25" customHeight="1" thickBot="1">
      <c r="A180" s="840" t="s">
        <v>525</v>
      </c>
      <c r="B180" s="834" t="s">
        <v>410</v>
      </c>
      <c r="C180" s="834">
        <v>7830</v>
      </c>
      <c r="D180" s="834">
        <v>7800</v>
      </c>
      <c r="E180" s="834">
        <v>7780</v>
      </c>
      <c r="F180" s="848">
        <v>1440</v>
      </c>
    </row>
    <row r="181" spans="1:6" s="828" customFormat="1" ht="14.25" customHeight="1" thickBot="1">
      <c r="A181" s="840" t="s">
        <v>525</v>
      </c>
      <c r="B181" s="834" t="s">
        <v>417</v>
      </c>
      <c r="C181" s="834">
        <v>7110</v>
      </c>
      <c r="D181" s="834">
        <v>7080</v>
      </c>
      <c r="E181" s="834">
        <v>7730</v>
      </c>
      <c r="F181" s="848">
        <v>1350</v>
      </c>
    </row>
    <row r="182" spans="1:6" s="828" customFormat="1" ht="14.25" customHeight="1" thickBot="1">
      <c r="A182" s="840" t="s">
        <v>525</v>
      </c>
      <c r="B182" s="834" t="s">
        <v>424</v>
      </c>
      <c r="C182" s="834">
        <v>7310</v>
      </c>
      <c r="D182" s="834">
        <v>7280</v>
      </c>
      <c r="E182" s="834">
        <v>7950</v>
      </c>
      <c r="F182" s="848">
        <v>1220</v>
      </c>
    </row>
    <row r="183" spans="1:6" s="828" customFormat="1" ht="14.25" customHeight="1" thickBot="1">
      <c r="A183" s="840" t="s">
        <v>525</v>
      </c>
      <c r="B183" s="834" t="s">
        <v>431</v>
      </c>
      <c r="C183" s="834">
        <v>7470</v>
      </c>
      <c r="D183" s="834">
        <v>7440</v>
      </c>
      <c r="E183" s="834">
        <v>7880</v>
      </c>
      <c r="F183" s="852"/>
    </row>
    <row r="184" spans="1:6" s="828" customFormat="1" ht="14.25" customHeight="1" thickBot="1">
      <c r="A184" s="840" t="s">
        <v>525</v>
      </c>
      <c r="B184" s="834" t="s">
        <v>438</v>
      </c>
      <c r="C184" s="834">
        <v>6960</v>
      </c>
      <c r="D184" s="834">
        <v>6930</v>
      </c>
      <c r="E184" s="834">
        <v>7570</v>
      </c>
      <c r="F184" s="852"/>
    </row>
    <row r="185" spans="1:6" s="828" customFormat="1" ht="14.25" customHeight="1" thickBot="1">
      <c r="A185" s="840" t="s">
        <v>525</v>
      </c>
      <c r="B185" s="834" t="s">
        <v>445</v>
      </c>
      <c r="C185" s="834">
        <v>7260</v>
      </c>
      <c r="D185" s="834">
        <v>7230</v>
      </c>
      <c r="E185" s="834">
        <v>7710</v>
      </c>
      <c r="F185" s="848">
        <v>1360</v>
      </c>
    </row>
    <row r="186" spans="1:6" s="828" customFormat="1" ht="14.25" customHeight="1" thickBot="1">
      <c r="A186" s="840" t="s">
        <v>525</v>
      </c>
      <c r="B186" s="834" t="s">
        <v>450</v>
      </c>
      <c r="C186" s="834"/>
      <c r="D186" s="834"/>
      <c r="E186" s="834"/>
      <c r="F186" s="848">
        <v>1560</v>
      </c>
    </row>
    <row r="187" spans="1:6" s="828" customFormat="1" ht="14.25" customHeight="1" thickBot="1">
      <c r="A187" s="840" t="s">
        <v>525</v>
      </c>
      <c r="B187" s="834" t="s">
        <v>454</v>
      </c>
      <c r="C187" s="834"/>
      <c r="D187" s="834"/>
      <c r="E187" s="834"/>
      <c r="F187" s="848">
        <v>1560</v>
      </c>
    </row>
    <row r="188" spans="1:6" s="828" customFormat="1" ht="14.25" customHeight="1" thickBot="1">
      <c r="A188" s="840" t="s">
        <v>525</v>
      </c>
      <c r="B188" s="834" t="s">
        <v>459</v>
      </c>
      <c r="C188" s="834"/>
      <c r="D188" s="834"/>
      <c r="E188" s="834"/>
      <c r="F188" s="848">
        <v>1560</v>
      </c>
    </row>
    <row r="189" spans="1:6" s="828" customFormat="1" ht="14.25" customHeight="1" thickBot="1">
      <c r="A189" s="840" t="s">
        <v>525</v>
      </c>
      <c r="B189" s="834" t="s">
        <v>464</v>
      </c>
      <c r="C189" s="834"/>
      <c r="D189" s="834"/>
      <c r="E189" s="834"/>
      <c r="F189" s="848">
        <v>1320</v>
      </c>
    </row>
    <row r="190" spans="1:6" s="828" customFormat="1" ht="14.25" customHeight="1" thickBot="1">
      <c r="A190" s="840" t="s">
        <v>525</v>
      </c>
      <c r="B190" s="834" t="s">
        <v>469</v>
      </c>
      <c r="C190" s="834"/>
      <c r="D190" s="834"/>
      <c r="E190" s="834"/>
      <c r="F190" s="848">
        <v>1320</v>
      </c>
    </row>
    <row r="191" spans="1:6" s="828" customFormat="1" ht="14.25" customHeight="1" thickBot="1">
      <c r="A191" s="840" t="s">
        <v>525</v>
      </c>
      <c r="B191" s="834" t="s">
        <v>474</v>
      </c>
      <c r="C191" s="834"/>
      <c r="D191" s="834"/>
      <c r="E191" s="834"/>
      <c r="F191" s="848">
        <v>1320</v>
      </c>
    </row>
    <row r="192" spans="1:6" s="828" customFormat="1" ht="14.25" customHeight="1" thickBot="1">
      <c r="A192" s="840" t="s">
        <v>525</v>
      </c>
      <c r="B192" s="834" t="s">
        <v>478</v>
      </c>
      <c r="C192" s="834"/>
      <c r="D192" s="834"/>
      <c r="E192" s="834"/>
      <c r="F192" s="848">
        <v>1100</v>
      </c>
    </row>
    <row r="193" spans="1:6" s="828" customFormat="1" ht="14.25" customHeight="1" thickBot="1">
      <c r="A193" s="840" t="s">
        <v>525</v>
      </c>
      <c r="B193" s="834" t="s">
        <v>482</v>
      </c>
      <c r="C193" s="834"/>
      <c r="D193" s="834"/>
      <c r="E193" s="834"/>
      <c r="F193" s="848">
        <v>1100</v>
      </c>
    </row>
    <row r="194" spans="1:6" s="828" customFormat="1" ht="14.25" customHeight="1" thickBot="1">
      <c r="A194" s="840" t="s">
        <v>525</v>
      </c>
      <c r="B194" s="834" t="s">
        <v>486</v>
      </c>
      <c r="C194" s="834"/>
      <c r="D194" s="834"/>
      <c r="E194" s="834"/>
      <c r="F194" s="848">
        <v>1080</v>
      </c>
    </row>
    <row r="195" spans="1:6" s="828" customFormat="1" ht="14.25" customHeight="1" thickBot="1">
      <c r="A195" s="840" t="s">
        <v>525</v>
      </c>
      <c r="B195" s="834" t="s">
        <v>490</v>
      </c>
      <c r="C195" s="834"/>
      <c r="D195" s="834"/>
      <c r="E195" s="834"/>
      <c r="F195" s="848">
        <v>1270</v>
      </c>
    </row>
    <row r="196" spans="1:6" s="828" customFormat="1" ht="14.25" customHeight="1" thickBot="1">
      <c r="A196" s="840" t="s">
        <v>525</v>
      </c>
      <c r="B196" s="834" t="s">
        <v>494</v>
      </c>
      <c r="C196" s="834"/>
      <c r="D196" s="834"/>
      <c r="E196" s="834"/>
      <c r="F196" s="848">
        <v>1150</v>
      </c>
    </row>
    <row r="197" spans="1:6" s="828" customFormat="1" ht="14.25" customHeight="1" thickBot="1">
      <c r="A197" s="840" t="s">
        <v>525</v>
      </c>
      <c r="B197" s="834" t="s">
        <v>498</v>
      </c>
      <c r="C197" s="834"/>
      <c r="D197" s="834"/>
      <c r="E197" s="834"/>
      <c r="F197" s="848">
        <v>1330</v>
      </c>
    </row>
    <row r="198" spans="1:6" s="828" customFormat="1" ht="14.25" customHeight="1" thickBot="1">
      <c r="A198" s="840" t="s">
        <v>525</v>
      </c>
      <c r="B198" s="834" t="s">
        <v>501</v>
      </c>
      <c r="C198" s="834"/>
      <c r="D198" s="834"/>
      <c r="E198" s="834"/>
      <c r="F198" s="848">
        <v>1170</v>
      </c>
    </row>
    <row r="199" spans="1:6" s="828" customFormat="1" ht="14.25" customHeight="1" thickBot="1">
      <c r="A199" s="840" t="s">
        <v>525</v>
      </c>
      <c r="B199" s="834" t="s">
        <v>504</v>
      </c>
      <c r="C199" s="834"/>
      <c r="D199" s="834"/>
      <c r="E199" s="834"/>
      <c r="F199" s="848">
        <v>1120</v>
      </c>
    </row>
    <row r="200" spans="1:6" s="828" customFormat="1" ht="14.25" customHeight="1" thickBot="1">
      <c r="A200" s="840" t="s">
        <v>525</v>
      </c>
      <c r="B200" s="834" t="s">
        <v>507</v>
      </c>
      <c r="C200" s="834"/>
      <c r="D200" s="834"/>
      <c r="E200" s="834"/>
      <c r="F200" s="848">
        <v>1120</v>
      </c>
    </row>
    <row r="201" spans="1:6" s="828" customFormat="1" ht="14.25" customHeight="1" thickBot="1">
      <c r="A201" s="840" t="s">
        <v>525</v>
      </c>
      <c r="B201" s="834" t="s">
        <v>510</v>
      </c>
      <c r="C201" s="834"/>
      <c r="D201" s="834"/>
      <c r="E201" s="834"/>
      <c r="F201" s="848">
        <v>1540</v>
      </c>
    </row>
    <row r="202" spans="1:6" s="828" customFormat="1" ht="14.25" customHeight="1" thickBot="1">
      <c r="A202" s="840" t="s">
        <v>525</v>
      </c>
      <c r="B202" s="834" t="s">
        <v>513</v>
      </c>
      <c r="C202" s="834"/>
      <c r="D202" s="834"/>
      <c r="E202" s="834"/>
      <c r="F202" s="848">
        <v>1310</v>
      </c>
    </row>
    <row r="203" spans="1:6" s="828" customFormat="1" ht="14.25" customHeight="1" thickBot="1">
      <c r="A203" s="840" t="s">
        <v>525</v>
      </c>
      <c r="B203" s="834" t="s">
        <v>516</v>
      </c>
      <c r="C203" s="834"/>
      <c r="D203" s="834"/>
      <c r="E203" s="834"/>
      <c r="F203" s="848">
        <v>1310</v>
      </c>
    </row>
    <row r="204" spans="1:6" s="828" customFormat="1" ht="14.25" customHeight="1" thickBot="1">
      <c r="A204" s="840" t="s">
        <v>525</v>
      </c>
      <c r="B204" s="834" t="s">
        <v>518</v>
      </c>
      <c r="C204" s="834"/>
      <c r="D204" s="834"/>
      <c r="E204" s="834"/>
      <c r="F204" s="848">
        <v>1080</v>
      </c>
    </row>
    <row r="205" spans="1:6" s="828" customFormat="1" ht="14.25" customHeight="1" thickBot="1">
      <c r="A205" s="840" t="s">
        <v>525</v>
      </c>
      <c r="B205" s="834" t="s">
        <v>521</v>
      </c>
      <c r="C205" s="834"/>
      <c r="D205" s="834"/>
      <c r="E205" s="834"/>
      <c r="F205" s="848">
        <v>1080</v>
      </c>
    </row>
    <row r="206" spans="1:6" s="828" customFormat="1" ht="14.25" customHeight="1" thickBot="1">
      <c r="A206" s="840" t="s">
        <v>527</v>
      </c>
      <c r="B206" s="841" t="s">
        <v>528</v>
      </c>
      <c r="C206" s="841">
        <v>5450</v>
      </c>
      <c r="D206" s="841">
        <v>5430</v>
      </c>
      <c r="E206" s="841">
        <v>5700</v>
      </c>
      <c r="F206" s="842">
        <v>1020</v>
      </c>
    </row>
    <row r="207" spans="1:6" s="828" customFormat="1" ht="14.25" customHeight="1" thickBot="1">
      <c r="A207" s="840" t="s">
        <v>527</v>
      </c>
      <c r="B207" s="834" t="s">
        <v>193</v>
      </c>
      <c r="C207" s="834">
        <v>5860</v>
      </c>
      <c r="D207" s="834">
        <v>5820</v>
      </c>
      <c r="E207" s="834">
        <v>6050</v>
      </c>
      <c r="F207" s="848">
        <v>1080</v>
      </c>
    </row>
    <row r="208" spans="1:6" s="828" customFormat="1" ht="14.25" customHeight="1" thickBot="1">
      <c r="A208" s="840" t="s">
        <v>527</v>
      </c>
      <c r="B208" s="834" t="s">
        <v>206</v>
      </c>
      <c r="C208" s="834">
        <v>4630</v>
      </c>
      <c r="D208" s="834">
        <v>4600</v>
      </c>
      <c r="E208" s="834">
        <v>4840</v>
      </c>
      <c r="F208" s="848">
        <v>900</v>
      </c>
    </row>
    <row r="209" spans="1:6" s="828" customFormat="1" ht="14.25" customHeight="1" thickBot="1">
      <c r="A209" s="840" t="s">
        <v>527</v>
      </c>
      <c r="B209" s="834" t="s">
        <v>219</v>
      </c>
      <c r="C209" s="834">
        <v>5320</v>
      </c>
      <c r="D209" s="834">
        <v>5270</v>
      </c>
      <c r="E209" s="834">
        <v>5540</v>
      </c>
      <c r="F209" s="848">
        <v>980</v>
      </c>
    </row>
    <row r="210" spans="1:6" s="828" customFormat="1" ht="14.25" customHeight="1" thickBot="1">
      <c r="A210" s="840" t="s">
        <v>527</v>
      </c>
      <c r="B210" s="834" t="s">
        <v>231</v>
      </c>
      <c r="C210" s="834">
        <v>5760</v>
      </c>
      <c r="D210" s="834">
        <v>5710</v>
      </c>
      <c r="E210" s="834">
        <v>6010</v>
      </c>
      <c r="F210" s="848">
        <v>870</v>
      </c>
    </row>
    <row r="211" spans="1:6" s="828" customFormat="1" ht="14.25" customHeight="1" thickBot="1">
      <c r="A211" s="840" t="s">
        <v>527</v>
      </c>
      <c r="B211" s="834" t="s">
        <v>242</v>
      </c>
      <c r="C211" s="834">
        <v>4160</v>
      </c>
      <c r="D211" s="834">
        <v>4100</v>
      </c>
      <c r="E211" s="834">
        <v>4270</v>
      </c>
      <c r="F211" s="848">
        <v>790</v>
      </c>
    </row>
    <row r="212" spans="1:6" s="828" customFormat="1" ht="14.25" customHeight="1" thickBot="1">
      <c r="A212" s="840" t="s">
        <v>527</v>
      </c>
      <c r="B212" s="834" t="s">
        <v>253</v>
      </c>
      <c r="C212" s="834">
        <v>4880</v>
      </c>
      <c r="D212" s="834">
        <v>4850</v>
      </c>
      <c r="E212" s="834">
        <v>5110</v>
      </c>
      <c r="F212" s="848">
        <v>940</v>
      </c>
    </row>
    <row r="213" spans="1:6" s="828" customFormat="1" ht="14.25" customHeight="1" thickBot="1">
      <c r="A213" s="840" t="s">
        <v>527</v>
      </c>
      <c r="B213" s="834" t="s">
        <v>264</v>
      </c>
      <c r="C213" s="834">
        <v>4640</v>
      </c>
      <c r="D213" s="834">
        <v>4590</v>
      </c>
      <c r="E213" s="834">
        <v>4700</v>
      </c>
      <c r="F213" s="848">
        <v>1030</v>
      </c>
    </row>
    <row r="214" spans="1:6" s="828" customFormat="1" ht="14.25" customHeight="1" thickBot="1">
      <c r="A214" s="840" t="s">
        <v>527</v>
      </c>
      <c r="B214" s="834" t="s">
        <v>276</v>
      </c>
      <c r="C214" s="834">
        <v>4540</v>
      </c>
      <c r="D214" s="834">
        <v>4490</v>
      </c>
      <c r="E214" s="834">
        <v>4610</v>
      </c>
      <c r="F214" s="852"/>
    </row>
    <row r="215" spans="1:6" s="828" customFormat="1" ht="14.25" customHeight="1" thickBot="1">
      <c r="A215" s="840" t="s">
        <v>527</v>
      </c>
      <c r="B215" s="834" t="s">
        <v>286</v>
      </c>
      <c r="C215" s="834">
        <v>5280</v>
      </c>
      <c r="D215" s="834">
        <v>5250</v>
      </c>
      <c r="E215" s="834">
        <v>5520</v>
      </c>
      <c r="F215" s="848">
        <v>1000</v>
      </c>
    </row>
    <row r="216" spans="1:6" s="828" customFormat="1" ht="14.25" customHeight="1" thickBot="1">
      <c r="A216" s="840" t="s">
        <v>527</v>
      </c>
      <c r="B216" s="834" t="s">
        <v>296</v>
      </c>
      <c r="C216" s="834">
        <v>5100</v>
      </c>
      <c r="D216" s="834">
        <v>5050</v>
      </c>
      <c r="E216" s="834">
        <v>5300</v>
      </c>
      <c r="F216" s="848">
        <v>950</v>
      </c>
    </row>
    <row r="217" spans="1:6" s="828" customFormat="1" ht="14.25" customHeight="1" thickBot="1">
      <c r="A217" s="840" t="s">
        <v>527</v>
      </c>
      <c r="B217" s="834" t="s">
        <v>306</v>
      </c>
      <c r="C217" s="834">
        <v>5370</v>
      </c>
      <c r="D217" s="834">
        <v>5320</v>
      </c>
      <c r="E217" s="834">
        <v>5410</v>
      </c>
      <c r="F217" s="848">
        <v>950</v>
      </c>
    </row>
    <row r="218" spans="1:6" s="828" customFormat="1" ht="14.25" customHeight="1" thickBot="1">
      <c r="A218" s="840" t="s">
        <v>527</v>
      </c>
      <c r="B218" s="834" t="s">
        <v>316</v>
      </c>
      <c r="C218" s="834">
        <v>5540</v>
      </c>
      <c r="D218" s="834">
        <v>5480</v>
      </c>
      <c r="E218" s="834">
        <v>5740</v>
      </c>
      <c r="F218" s="848">
        <v>1020</v>
      </c>
    </row>
    <row r="219" spans="1:6" s="828" customFormat="1" ht="14.25" customHeight="1" thickBot="1">
      <c r="A219" s="840" t="s">
        <v>527</v>
      </c>
      <c r="B219" s="834" t="s">
        <v>327</v>
      </c>
      <c r="C219" s="834">
        <v>5140</v>
      </c>
      <c r="D219" s="834">
        <v>5100</v>
      </c>
      <c r="E219" s="834">
        <v>5350</v>
      </c>
      <c r="F219" s="848">
        <v>1120</v>
      </c>
    </row>
    <row r="220" spans="1:6" s="828" customFormat="1" ht="14.25" customHeight="1" thickBot="1">
      <c r="A220" s="840" t="s">
        <v>527</v>
      </c>
      <c r="B220" s="834" t="s">
        <v>338</v>
      </c>
      <c r="C220" s="834">
        <v>5040</v>
      </c>
      <c r="D220" s="834">
        <v>5000</v>
      </c>
      <c r="E220" s="834">
        <v>5240</v>
      </c>
      <c r="F220" s="848">
        <v>980</v>
      </c>
    </row>
    <row r="221" spans="1:6" s="828" customFormat="1" ht="14.25" customHeight="1" thickBot="1">
      <c r="A221" s="840" t="s">
        <v>527</v>
      </c>
      <c r="B221" s="834" t="s">
        <v>348</v>
      </c>
      <c r="C221" s="853"/>
      <c r="D221" s="853"/>
      <c r="E221" s="853"/>
      <c r="F221" s="848">
        <v>1070</v>
      </c>
    </row>
    <row r="222" spans="1:6" s="828" customFormat="1" ht="14.25" customHeight="1" thickBot="1">
      <c r="A222" s="840" t="s">
        <v>527</v>
      </c>
      <c r="B222" s="834" t="s">
        <v>358</v>
      </c>
      <c r="C222" s="853"/>
      <c r="D222" s="853"/>
      <c r="E222" s="853"/>
      <c r="F222" s="848">
        <v>870</v>
      </c>
    </row>
    <row r="223" spans="1:6" s="828" customFormat="1" ht="14.25" customHeight="1" thickBot="1">
      <c r="A223" s="840" t="s">
        <v>527</v>
      </c>
      <c r="B223" s="834" t="s">
        <v>368</v>
      </c>
      <c r="C223" s="853"/>
      <c r="D223" s="853"/>
      <c r="E223" s="853"/>
      <c r="F223" s="848">
        <v>940</v>
      </c>
    </row>
    <row r="224" spans="1:6" s="828" customFormat="1" ht="14.25" customHeight="1" thickBot="1">
      <c r="A224" s="840" t="s">
        <v>527</v>
      </c>
      <c r="B224" s="834" t="s">
        <v>378</v>
      </c>
      <c r="C224" s="853"/>
      <c r="D224" s="853"/>
      <c r="E224" s="853"/>
      <c r="F224" s="848">
        <v>990</v>
      </c>
    </row>
    <row r="225" spans="1:6" s="828" customFormat="1" ht="14.25" customHeight="1" thickBot="1">
      <c r="A225" s="840" t="s">
        <v>527</v>
      </c>
      <c r="B225" s="834" t="s">
        <v>387</v>
      </c>
      <c r="C225" s="834">
        <v>5730</v>
      </c>
      <c r="D225" s="834">
        <v>5680</v>
      </c>
      <c r="E225" s="834">
        <v>6020</v>
      </c>
      <c r="F225" s="848">
        <v>1000</v>
      </c>
    </row>
    <row r="226" spans="1:6" s="828" customFormat="1" ht="14.25" customHeight="1" thickBot="1">
      <c r="A226" s="840" t="s">
        <v>527</v>
      </c>
      <c r="B226" s="834" t="s">
        <v>396</v>
      </c>
      <c r="C226" s="834">
        <v>4970</v>
      </c>
      <c r="D226" s="834">
        <v>4940</v>
      </c>
      <c r="E226" s="834">
        <v>5180</v>
      </c>
      <c r="F226" s="848">
        <v>960</v>
      </c>
    </row>
    <row r="227" spans="1:6" s="828" customFormat="1" ht="14.25" customHeight="1" thickBot="1">
      <c r="A227" s="840" t="s">
        <v>527</v>
      </c>
      <c r="B227" s="834" t="s">
        <v>404</v>
      </c>
      <c r="C227" s="834">
        <v>5550</v>
      </c>
      <c r="D227" s="834">
        <v>5500</v>
      </c>
      <c r="E227" s="834">
        <v>5780</v>
      </c>
      <c r="F227" s="848">
        <v>940</v>
      </c>
    </row>
    <row r="228" spans="1:6" s="828" customFormat="1" ht="14.25" customHeight="1" thickBot="1">
      <c r="A228" s="840" t="s">
        <v>527</v>
      </c>
      <c r="B228" s="834" t="s">
        <v>411</v>
      </c>
      <c r="C228" s="834">
        <v>5460</v>
      </c>
      <c r="D228" s="834">
        <v>5420</v>
      </c>
      <c r="E228" s="834">
        <v>5690</v>
      </c>
      <c r="F228" s="848">
        <v>910</v>
      </c>
    </row>
    <row r="229" spans="1:6" s="828" customFormat="1" ht="14.25" customHeight="1" thickBot="1">
      <c r="A229" s="840" t="s">
        <v>527</v>
      </c>
      <c r="B229" s="834" t="s">
        <v>418</v>
      </c>
      <c r="C229" s="834">
        <v>5310</v>
      </c>
      <c r="D229" s="834">
        <v>5270</v>
      </c>
      <c r="E229" s="834">
        <v>5510</v>
      </c>
      <c r="F229" s="852"/>
    </row>
    <row r="230" spans="1:6" s="828" customFormat="1" ht="14.25" customHeight="1" thickBot="1">
      <c r="A230" s="840" t="s">
        <v>527</v>
      </c>
      <c r="B230" s="834" t="s">
        <v>425</v>
      </c>
      <c r="C230" s="834">
        <v>4540</v>
      </c>
      <c r="D230" s="834">
        <v>4500</v>
      </c>
      <c r="E230" s="834">
        <v>4730</v>
      </c>
      <c r="F230" s="852"/>
    </row>
    <row r="231" spans="1:6" s="828" customFormat="1" ht="14.25" customHeight="1" thickBot="1">
      <c r="A231" s="840" t="s">
        <v>527</v>
      </c>
      <c r="B231" s="834" t="s">
        <v>432</v>
      </c>
      <c r="C231" s="834">
        <v>4480</v>
      </c>
      <c r="D231" s="834">
        <v>4410</v>
      </c>
      <c r="E231" s="834">
        <v>4640</v>
      </c>
      <c r="F231" s="852"/>
    </row>
    <row r="232" spans="1:6" s="828" customFormat="1" ht="14.25" customHeight="1" thickBot="1">
      <c r="A232" s="840" t="s">
        <v>527</v>
      </c>
      <c r="B232" s="834" t="s">
        <v>439</v>
      </c>
      <c r="C232" s="834">
        <v>5670</v>
      </c>
      <c r="D232" s="834">
        <v>5600</v>
      </c>
      <c r="E232" s="834">
        <v>5890</v>
      </c>
      <c r="F232" s="848">
        <v>1150</v>
      </c>
    </row>
    <row r="233" spans="1:6" s="828" customFormat="1" ht="14.25" customHeight="1" thickBot="1">
      <c r="A233" s="840" t="s">
        <v>527</v>
      </c>
      <c r="B233" s="834" t="s">
        <v>446</v>
      </c>
      <c r="C233" s="834">
        <v>4590</v>
      </c>
      <c r="D233" s="834">
        <v>4500</v>
      </c>
      <c r="E233" s="834">
        <v>4600</v>
      </c>
      <c r="F233" s="852"/>
    </row>
    <row r="234" spans="1:6" s="828" customFormat="1" ht="14.25" customHeight="1" thickBot="1">
      <c r="A234" s="840" t="s">
        <v>527</v>
      </c>
      <c r="B234" s="834" t="s">
        <v>1052</v>
      </c>
      <c r="C234" s="834">
        <v>3990</v>
      </c>
      <c r="D234" s="834">
        <v>3950</v>
      </c>
      <c r="E234" s="834">
        <v>4180</v>
      </c>
      <c r="F234" s="852"/>
    </row>
    <row r="235" spans="1:6" s="828" customFormat="1" ht="14.25" customHeight="1" thickBot="1">
      <c r="A235" s="840" t="s">
        <v>527</v>
      </c>
      <c r="B235" s="834" t="s">
        <v>455</v>
      </c>
      <c r="C235" s="834">
        <v>5590</v>
      </c>
      <c r="D235" s="834">
        <v>5540</v>
      </c>
      <c r="E235" s="834">
        <v>5810</v>
      </c>
      <c r="F235" s="848">
        <v>970</v>
      </c>
    </row>
    <row r="236" spans="1:6" s="828" customFormat="1" ht="14.25" customHeight="1" thickBot="1">
      <c r="A236" s="840" t="s">
        <v>527</v>
      </c>
      <c r="B236" s="834" t="s">
        <v>460</v>
      </c>
      <c r="C236" s="834"/>
      <c r="D236" s="834"/>
      <c r="E236" s="834"/>
      <c r="F236" s="848">
        <v>1020</v>
      </c>
    </row>
    <row r="237" spans="1:6" s="828" customFormat="1" ht="14.25" customHeight="1" thickBot="1">
      <c r="A237" s="840" t="s">
        <v>527</v>
      </c>
      <c r="B237" s="834" t="s">
        <v>465</v>
      </c>
      <c r="C237" s="834"/>
      <c r="D237" s="834"/>
      <c r="E237" s="834"/>
      <c r="F237" s="848">
        <v>960</v>
      </c>
    </row>
    <row r="238" spans="1:6" s="828" customFormat="1" ht="14.25" customHeight="1" thickBot="1">
      <c r="A238" s="840" t="s">
        <v>527</v>
      </c>
      <c r="B238" s="834" t="s">
        <v>470</v>
      </c>
      <c r="C238" s="834"/>
      <c r="D238" s="834"/>
      <c r="E238" s="834"/>
      <c r="F238" s="848">
        <v>960</v>
      </c>
    </row>
    <row r="239" spans="1:6" s="828" customFormat="1" ht="14.25" customHeight="1" thickBot="1">
      <c r="A239" s="840" t="s">
        <v>527</v>
      </c>
      <c r="B239" s="834" t="s">
        <v>475</v>
      </c>
      <c r="C239" s="834"/>
      <c r="D239" s="834"/>
      <c r="E239" s="834"/>
      <c r="F239" s="848">
        <v>960</v>
      </c>
    </row>
    <row r="240" spans="1:6" s="828" customFormat="1" ht="14.25" customHeight="1" thickBot="1">
      <c r="A240" s="840" t="s">
        <v>527</v>
      </c>
      <c r="B240" s="834" t="s">
        <v>479</v>
      </c>
      <c r="C240" s="834"/>
      <c r="D240" s="834"/>
      <c r="E240" s="834"/>
      <c r="F240" s="848">
        <v>990</v>
      </c>
    </row>
    <row r="241" spans="1:6" s="828" customFormat="1" ht="14.25" customHeight="1" thickBot="1">
      <c r="A241" s="840" t="s">
        <v>527</v>
      </c>
      <c r="B241" s="834" t="s">
        <v>483</v>
      </c>
      <c r="C241" s="834"/>
      <c r="D241" s="834"/>
      <c r="E241" s="834"/>
      <c r="F241" s="848">
        <v>1000</v>
      </c>
    </row>
    <row r="242" spans="1:6" s="828" customFormat="1" ht="14.25" customHeight="1" thickBot="1">
      <c r="A242" s="840" t="s">
        <v>527</v>
      </c>
      <c r="B242" s="834" t="s">
        <v>487</v>
      </c>
      <c r="C242" s="834"/>
      <c r="D242" s="834"/>
      <c r="E242" s="834"/>
      <c r="F242" s="848">
        <v>980</v>
      </c>
    </row>
    <row r="243" spans="1:6" s="828" customFormat="1" ht="14.25" customHeight="1" thickBot="1">
      <c r="A243" s="840" t="s">
        <v>527</v>
      </c>
      <c r="B243" s="834" t="s">
        <v>491</v>
      </c>
      <c r="C243" s="834"/>
      <c r="D243" s="834"/>
      <c r="E243" s="834"/>
      <c r="F243" s="848">
        <v>970</v>
      </c>
    </row>
    <row r="244" spans="1:6" s="828" customFormat="1" ht="14.25" customHeight="1" thickBot="1">
      <c r="A244" s="840" t="s">
        <v>527</v>
      </c>
      <c r="B244" s="846" t="s">
        <v>495</v>
      </c>
      <c r="C244" s="846"/>
      <c r="D244" s="846"/>
      <c r="E244" s="846"/>
      <c r="F244" s="851">
        <v>970</v>
      </c>
    </row>
    <row r="245" spans="1:6" s="828" customFormat="1" ht="14.25" customHeight="1" thickBot="1">
      <c r="A245" s="840" t="s">
        <v>529</v>
      </c>
      <c r="B245" s="841" t="s">
        <v>530</v>
      </c>
      <c r="C245" s="841">
        <v>4050</v>
      </c>
      <c r="D245" s="841">
        <v>4020</v>
      </c>
      <c r="E245" s="841">
        <v>4160</v>
      </c>
      <c r="F245" s="842">
        <v>840</v>
      </c>
    </row>
    <row r="246" spans="1:6" s="828" customFormat="1" ht="14.25" customHeight="1" thickBot="1">
      <c r="A246" s="840" t="s">
        <v>529</v>
      </c>
      <c r="B246" s="834" t="s">
        <v>194</v>
      </c>
      <c r="C246" s="834">
        <v>4010</v>
      </c>
      <c r="D246" s="834">
        <v>3960</v>
      </c>
      <c r="E246" s="834">
        <v>4130</v>
      </c>
      <c r="F246" s="848">
        <v>840</v>
      </c>
    </row>
    <row r="247" spans="1:6" s="828" customFormat="1" ht="14.25" customHeight="1" thickBot="1">
      <c r="A247" s="840" t="s">
        <v>529</v>
      </c>
      <c r="B247" s="834" t="s">
        <v>531</v>
      </c>
      <c r="C247" s="834">
        <v>3170</v>
      </c>
      <c r="D247" s="834">
        <v>3140</v>
      </c>
      <c r="E247" s="834">
        <v>3270</v>
      </c>
      <c r="F247" s="848">
        <v>640</v>
      </c>
    </row>
    <row r="248" spans="1:6" s="828" customFormat="1" ht="14.25" customHeight="1" thickBot="1">
      <c r="A248" s="840" t="s">
        <v>529</v>
      </c>
      <c r="B248" s="834" t="s">
        <v>532</v>
      </c>
      <c r="C248" s="834">
        <v>3140</v>
      </c>
      <c r="D248" s="834">
        <v>3120</v>
      </c>
      <c r="E248" s="834">
        <v>3240</v>
      </c>
      <c r="F248" s="848">
        <v>620</v>
      </c>
    </row>
    <row r="249" spans="1:6" s="828" customFormat="1" ht="14.25" customHeight="1" thickBot="1">
      <c r="A249" s="840" t="s">
        <v>529</v>
      </c>
      <c r="B249" s="834" t="s">
        <v>232</v>
      </c>
      <c r="C249" s="834">
        <v>3200</v>
      </c>
      <c r="D249" s="834">
        <v>3100</v>
      </c>
      <c r="E249" s="834">
        <v>3230</v>
      </c>
      <c r="F249" s="848">
        <v>750</v>
      </c>
    </row>
    <row r="250" spans="1:6" s="828" customFormat="1" ht="14.25" customHeight="1" thickBot="1">
      <c r="A250" s="840" t="s">
        <v>529</v>
      </c>
      <c r="B250" s="834" t="s">
        <v>243</v>
      </c>
      <c r="C250" s="834">
        <v>4060</v>
      </c>
      <c r="D250" s="834">
        <v>4000</v>
      </c>
      <c r="E250" s="834">
        <v>4140</v>
      </c>
      <c r="F250" s="848">
        <v>790</v>
      </c>
    </row>
    <row r="251" spans="1:6" s="828" customFormat="1" ht="14.25" customHeight="1" thickBot="1">
      <c r="A251" s="840" t="s">
        <v>529</v>
      </c>
      <c r="B251" s="834" t="s">
        <v>254</v>
      </c>
      <c r="C251" s="834">
        <v>3990</v>
      </c>
      <c r="D251" s="834">
        <v>3970</v>
      </c>
      <c r="E251" s="834">
        <v>4110</v>
      </c>
      <c r="F251" s="848">
        <v>730</v>
      </c>
    </row>
    <row r="252" spans="1:6" s="828" customFormat="1" ht="14.25" customHeight="1" thickBot="1">
      <c r="A252" s="840" t="s">
        <v>529</v>
      </c>
      <c r="B252" s="834" t="s">
        <v>265</v>
      </c>
      <c r="C252" s="834">
        <v>3560</v>
      </c>
      <c r="D252" s="834">
        <v>3530</v>
      </c>
      <c r="E252" s="834">
        <v>3650</v>
      </c>
      <c r="F252" s="848">
        <v>750</v>
      </c>
    </row>
    <row r="253" spans="1:6" s="828" customFormat="1" ht="14.25" customHeight="1" thickBot="1">
      <c r="A253" s="840" t="s">
        <v>529</v>
      </c>
      <c r="B253" s="834" t="s">
        <v>277</v>
      </c>
      <c r="C253" s="834">
        <v>3780</v>
      </c>
      <c r="D253" s="834">
        <v>3750</v>
      </c>
      <c r="E253" s="834">
        <v>3870</v>
      </c>
      <c r="F253" s="848">
        <v>770</v>
      </c>
    </row>
    <row r="254" spans="1:6" s="828" customFormat="1" ht="14.25" customHeight="1" thickBot="1">
      <c r="A254" s="840" t="s">
        <v>529</v>
      </c>
      <c r="B254" s="834" t="s">
        <v>287</v>
      </c>
      <c r="C254" s="853"/>
      <c r="D254" s="853"/>
      <c r="E254" s="853"/>
      <c r="F254" s="848">
        <v>740</v>
      </c>
    </row>
    <row r="255" spans="1:6" s="828" customFormat="1" ht="14.25" customHeight="1" thickBot="1">
      <c r="A255" s="840" t="s">
        <v>529</v>
      </c>
      <c r="B255" s="834" t="s">
        <v>297</v>
      </c>
      <c r="C255" s="853"/>
      <c r="D255" s="853"/>
      <c r="E255" s="853"/>
      <c r="F255" s="848">
        <v>760</v>
      </c>
    </row>
    <row r="256" spans="1:6" s="828" customFormat="1" ht="14.25" customHeight="1" thickBot="1">
      <c r="A256" s="840" t="s">
        <v>529</v>
      </c>
      <c r="B256" s="834" t="s">
        <v>307</v>
      </c>
      <c r="C256" s="834">
        <v>3760</v>
      </c>
      <c r="D256" s="834">
        <v>3730</v>
      </c>
      <c r="E256" s="834">
        <v>3870</v>
      </c>
      <c r="F256" s="848">
        <v>830</v>
      </c>
    </row>
    <row r="257" spans="1:6" s="828" customFormat="1" ht="14.25" customHeight="1" thickBot="1">
      <c r="A257" s="840" t="s">
        <v>529</v>
      </c>
      <c r="B257" s="834" t="s">
        <v>317</v>
      </c>
      <c r="C257" s="834">
        <v>3570</v>
      </c>
      <c r="D257" s="834">
        <v>3540</v>
      </c>
      <c r="E257" s="834">
        <v>3650</v>
      </c>
      <c r="F257" s="848">
        <v>790</v>
      </c>
    </row>
    <row r="258" spans="1:6" s="828" customFormat="1" ht="14.25" customHeight="1" thickBot="1">
      <c r="A258" s="840" t="s">
        <v>529</v>
      </c>
      <c r="B258" s="834" t="s">
        <v>328</v>
      </c>
      <c r="C258" s="834">
        <v>3410</v>
      </c>
      <c r="D258" s="834">
        <v>3380</v>
      </c>
      <c r="E258" s="834">
        <v>3500</v>
      </c>
      <c r="F258" s="848">
        <v>830</v>
      </c>
    </row>
    <row r="259" spans="1:6" s="828" customFormat="1" ht="14.25" customHeight="1" thickBot="1">
      <c r="A259" s="840" t="s">
        <v>529</v>
      </c>
      <c r="B259" s="834" t="s">
        <v>339</v>
      </c>
      <c r="C259" s="834">
        <v>3870</v>
      </c>
      <c r="D259" s="834">
        <v>3840</v>
      </c>
      <c r="E259" s="834">
        <v>3970</v>
      </c>
      <c r="F259" s="848">
        <v>830</v>
      </c>
    </row>
    <row r="260" spans="1:6" s="828" customFormat="1" ht="14.25" customHeight="1" thickBot="1">
      <c r="A260" s="840" t="s">
        <v>529</v>
      </c>
      <c r="B260" s="834" t="s">
        <v>349</v>
      </c>
      <c r="C260" s="834">
        <v>3700</v>
      </c>
      <c r="D260" s="834">
        <v>3660</v>
      </c>
      <c r="E260" s="834">
        <v>3810</v>
      </c>
      <c r="F260" s="848">
        <v>790</v>
      </c>
    </row>
    <row r="261" spans="1:6" s="828" customFormat="1" ht="14.25" customHeight="1" thickBot="1">
      <c r="A261" s="840" t="s">
        <v>529</v>
      </c>
      <c r="B261" s="834" t="s">
        <v>359</v>
      </c>
      <c r="C261" s="834">
        <v>3470</v>
      </c>
      <c r="D261" s="834">
        <v>3430</v>
      </c>
      <c r="E261" s="834">
        <v>3640</v>
      </c>
      <c r="F261" s="848">
        <v>760</v>
      </c>
    </row>
    <row r="262" spans="1:6" s="828" customFormat="1" ht="14.25" customHeight="1" thickBot="1">
      <c r="A262" s="840" t="s">
        <v>529</v>
      </c>
      <c r="B262" s="834" t="s">
        <v>369</v>
      </c>
      <c r="C262" s="834">
        <v>3510</v>
      </c>
      <c r="D262" s="834">
        <v>3470</v>
      </c>
      <c r="E262" s="834">
        <v>3680</v>
      </c>
      <c r="F262" s="852"/>
    </row>
    <row r="263" spans="1:6" s="828" customFormat="1" ht="14.25" customHeight="1" thickBot="1">
      <c r="A263" s="840" t="s">
        <v>529</v>
      </c>
      <c r="B263" s="834" t="s">
        <v>379</v>
      </c>
      <c r="C263" s="834">
        <v>3960</v>
      </c>
      <c r="D263" s="834">
        <v>3930</v>
      </c>
      <c r="E263" s="834">
        <v>4070</v>
      </c>
      <c r="F263" s="848">
        <v>830</v>
      </c>
    </row>
    <row r="264" spans="1:6" s="828" customFormat="1" ht="14.25" customHeight="1" thickBot="1">
      <c r="A264" s="840" t="s">
        <v>529</v>
      </c>
      <c r="B264" s="834" t="s">
        <v>388</v>
      </c>
      <c r="C264" s="834">
        <v>4010</v>
      </c>
      <c r="D264" s="834">
        <v>3980</v>
      </c>
      <c r="E264" s="834">
        <v>4150</v>
      </c>
      <c r="F264" s="848">
        <v>760</v>
      </c>
    </row>
    <row r="265" spans="1:6" s="828" customFormat="1" ht="14.25" customHeight="1" thickBot="1">
      <c r="A265" s="840" t="s">
        <v>529</v>
      </c>
      <c r="B265" s="834" t="s">
        <v>397</v>
      </c>
      <c r="C265" s="834">
        <v>3910</v>
      </c>
      <c r="D265" s="834">
        <v>3890</v>
      </c>
      <c r="E265" s="834">
        <v>4040</v>
      </c>
      <c r="F265" s="848">
        <v>780</v>
      </c>
    </row>
    <row r="266" spans="1:6" s="828" customFormat="1" ht="14.25" customHeight="1" thickBot="1">
      <c r="A266" s="840" t="s">
        <v>529</v>
      </c>
      <c r="B266" s="834" t="s">
        <v>405</v>
      </c>
      <c r="C266" s="834">
        <v>3930</v>
      </c>
      <c r="D266" s="834">
        <v>3900</v>
      </c>
      <c r="E266" s="834">
        <v>4080</v>
      </c>
      <c r="F266" s="848">
        <v>770</v>
      </c>
    </row>
    <row r="267" spans="1:6" s="828" customFormat="1" ht="14.25" customHeight="1" thickBot="1">
      <c r="A267" s="840" t="s">
        <v>529</v>
      </c>
      <c r="B267" s="834" t="s">
        <v>412</v>
      </c>
      <c r="C267" s="834">
        <v>3800</v>
      </c>
      <c r="D267" s="834">
        <v>3780</v>
      </c>
      <c r="E267" s="834">
        <v>3930</v>
      </c>
      <c r="F267" s="852"/>
    </row>
    <row r="268" spans="1:6" s="828" customFormat="1" ht="14.25" customHeight="1" thickBot="1">
      <c r="A268" s="840" t="s">
        <v>529</v>
      </c>
      <c r="B268" s="834" t="s">
        <v>419</v>
      </c>
      <c r="C268" s="834">
        <v>3460</v>
      </c>
      <c r="D268" s="834">
        <v>3430</v>
      </c>
      <c r="E268" s="834">
        <v>3560</v>
      </c>
      <c r="F268" s="848">
        <v>840</v>
      </c>
    </row>
    <row r="269" spans="1:6" s="828" customFormat="1" ht="14.25" customHeight="1" thickBot="1">
      <c r="A269" s="840" t="s">
        <v>529</v>
      </c>
      <c r="B269" s="834" t="s">
        <v>426</v>
      </c>
      <c r="C269" s="834">
        <v>3210</v>
      </c>
      <c r="D269" s="834">
        <v>3190</v>
      </c>
      <c r="E269" s="834">
        <v>3310</v>
      </c>
      <c r="F269" s="848">
        <v>730</v>
      </c>
    </row>
    <row r="270" spans="1:6" s="828" customFormat="1" ht="14.25" customHeight="1" thickBot="1">
      <c r="A270" s="840" t="s">
        <v>529</v>
      </c>
      <c r="B270" s="834" t="s">
        <v>433</v>
      </c>
      <c r="C270" s="834">
        <v>3240</v>
      </c>
      <c r="D270" s="834">
        <v>3210</v>
      </c>
      <c r="E270" s="834">
        <v>3390</v>
      </c>
      <c r="F270" s="848">
        <v>820</v>
      </c>
    </row>
    <row r="271" spans="1:6" s="828" customFormat="1" ht="14.25" customHeight="1" thickBot="1">
      <c r="A271" s="840" t="s">
        <v>529</v>
      </c>
      <c r="B271" s="834" t="s">
        <v>440</v>
      </c>
      <c r="C271" s="834">
        <v>3300</v>
      </c>
      <c r="D271" s="834">
        <v>3270</v>
      </c>
      <c r="E271" s="834">
        <v>3380</v>
      </c>
      <c r="F271" s="848">
        <v>750</v>
      </c>
    </row>
    <row r="272" spans="1:6" s="828" customFormat="1" ht="14.25" customHeight="1" thickBot="1">
      <c r="A272" s="840" t="s">
        <v>529</v>
      </c>
      <c r="B272" s="834" t="s">
        <v>447</v>
      </c>
      <c r="C272" s="853"/>
      <c r="D272" s="853"/>
      <c r="E272" s="853"/>
      <c r="F272" s="848">
        <v>740</v>
      </c>
    </row>
    <row r="273" spans="1:6" s="828" customFormat="1" ht="14.25" customHeight="1" thickBot="1">
      <c r="A273" s="840" t="s">
        <v>529</v>
      </c>
      <c r="B273" s="834" t="s">
        <v>451</v>
      </c>
      <c r="C273" s="834">
        <v>3130</v>
      </c>
      <c r="D273" s="834">
        <v>3100</v>
      </c>
      <c r="E273" s="834">
        <v>3230</v>
      </c>
      <c r="F273" s="848">
        <v>700</v>
      </c>
    </row>
    <row r="274" spans="1:6" s="828" customFormat="1" ht="14.25" customHeight="1" thickBot="1">
      <c r="A274" s="840" t="s">
        <v>529</v>
      </c>
      <c r="B274" s="834" t="s">
        <v>456</v>
      </c>
      <c r="C274" s="834">
        <v>3460</v>
      </c>
      <c r="D274" s="834">
        <v>3430</v>
      </c>
      <c r="E274" s="834">
        <v>3560</v>
      </c>
      <c r="F274" s="848">
        <v>690</v>
      </c>
    </row>
    <row r="275" spans="1:6" s="828" customFormat="1" ht="14.25" customHeight="1" thickBot="1">
      <c r="A275" s="840" t="s">
        <v>529</v>
      </c>
      <c r="B275" s="834" t="s">
        <v>461</v>
      </c>
      <c r="C275" s="834">
        <v>4040</v>
      </c>
      <c r="D275" s="834">
        <v>4020</v>
      </c>
      <c r="E275" s="834">
        <v>4160</v>
      </c>
      <c r="F275" s="848">
        <v>820</v>
      </c>
    </row>
    <row r="276" spans="1:6" s="828" customFormat="1" ht="14.25" customHeight="1" thickBot="1">
      <c r="A276" s="840" t="s">
        <v>529</v>
      </c>
      <c r="B276" s="834" t="s">
        <v>466</v>
      </c>
      <c r="C276" s="834">
        <v>3270</v>
      </c>
      <c r="D276" s="834">
        <v>3240</v>
      </c>
      <c r="E276" s="834">
        <v>3350</v>
      </c>
      <c r="F276" s="848">
        <v>680</v>
      </c>
    </row>
    <row r="277" spans="1:6" s="828" customFormat="1" ht="14.25" customHeight="1" thickBot="1">
      <c r="A277" s="840" t="s">
        <v>529</v>
      </c>
      <c r="B277" s="834" t="s">
        <v>471</v>
      </c>
      <c r="C277" s="834">
        <v>2930</v>
      </c>
      <c r="D277" s="834">
        <v>2900</v>
      </c>
      <c r="E277" s="834">
        <v>3000</v>
      </c>
      <c r="F277" s="848">
        <v>640</v>
      </c>
    </row>
    <row r="278" spans="1:6" s="828" customFormat="1" ht="14.25" customHeight="1" thickBot="1">
      <c r="A278" s="840" t="s">
        <v>529</v>
      </c>
      <c r="B278" s="834" t="s">
        <v>476</v>
      </c>
      <c r="C278" s="834">
        <v>4080</v>
      </c>
      <c r="D278" s="834">
        <v>4030</v>
      </c>
      <c r="E278" s="834">
        <v>4140</v>
      </c>
      <c r="F278" s="848">
        <v>850</v>
      </c>
    </row>
    <row r="279" spans="1:6" s="828" customFormat="1" ht="14.25" customHeight="1" thickBot="1">
      <c r="A279" s="840" t="s">
        <v>529</v>
      </c>
      <c r="B279" s="834" t="s">
        <v>480</v>
      </c>
      <c r="C279" s="834"/>
      <c r="D279" s="834"/>
      <c r="E279" s="834"/>
      <c r="F279" s="848">
        <v>760</v>
      </c>
    </row>
    <row r="280" spans="1:6" s="828" customFormat="1" ht="14.25" customHeight="1" thickBot="1">
      <c r="A280" s="840" t="s">
        <v>529</v>
      </c>
      <c r="B280" s="834" t="s">
        <v>484</v>
      </c>
      <c r="C280" s="834"/>
      <c r="D280" s="834"/>
      <c r="E280" s="834"/>
      <c r="F280" s="848">
        <v>760</v>
      </c>
    </row>
    <row r="281" spans="1:6" s="828" customFormat="1" ht="14.25" customHeight="1" thickBot="1">
      <c r="A281" s="840" t="s">
        <v>529</v>
      </c>
      <c r="B281" s="834" t="s">
        <v>488</v>
      </c>
      <c r="C281" s="834"/>
      <c r="D281" s="834"/>
      <c r="E281" s="834"/>
      <c r="F281" s="848">
        <v>780</v>
      </c>
    </row>
    <row r="282" spans="1:6" s="828" customFormat="1" ht="14.25" customHeight="1" thickBot="1">
      <c r="A282" s="840" t="s">
        <v>529</v>
      </c>
      <c r="B282" s="834" t="s">
        <v>492</v>
      </c>
      <c r="C282" s="834"/>
      <c r="D282" s="834"/>
      <c r="E282" s="834"/>
      <c r="F282" s="848">
        <v>730</v>
      </c>
    </row>
    <row r="283" spans="1:6" s="828" customFormat="1" ht="14.25" customHeight="1" thickBot="1">
      <c r="A283" s="840" t="s">
        <v>529</v>
      </c>
      <c r="B283" s="834" t="s">
        <v>496</v>
      </c>
      <c r="C283" s="834"/>
      <c r="D283" s="834"/>
      <c r="E283" s="834"/>
      <c r="F283" s="848">
        <v>770</v>
      </c>
    </row>
    <row r="284" spans="1:6" s="828" customFormat="1" ht="14.25" customHeight="1" thickBot="1">
      <c r="A284" s="840" t="s">
        <v>529</v>
      </c>
      <c r="B284" s="834" t="s">
        <v>499</v>
      </c>
      <c r="C284" s="834"/>
      <c r="D284" s="834"/>
      <c r="E284" s="834"/>
      <c r="F284" s="848">
        <v>640</v>
      </c>
    </row>
    <row r="285" spans="1:6" s="828" customFormat="1" ht="14.25" customHeight="1" thickBot="1">
      <c r="A285" s="840" t="s">
        <v>529</v>
      </c>
      <c r="B285" s="834" t="s">
        <v>502</v>
      </c>
      <c r="C285" s="834"/>
      <c r="D285" s="834"/>
      <c r="E285" s="834"/>
      <c r="F285" s="848">
        <v>640</v>
      </c>
    </row>
    <row r="286" spans="1:6" s="828" customFormat="1" ht="14.25" customHeight="1" thickBot="1">
      <c r="A286" s="840" t="s">
        <v>529</v>
      </c>
      <c r="B286" s="834" t="s">
        <v>505</v>
      </c>
      <c r="C286" s="834"/>
      <c r="D286" s="834"/>
      <c r="E286" s="834"/>
      <c r="F286" s="848">
        <v>850</v>
      </c>
    </row>
    <row r="287" spans="1:6" s="828" customFormat="1" ht="14.25" customHeight="1" thickBot="1">
      <c r="A287" s="840" t="s">
        <v>529</v>
      </c>
      <c r="B287" s="834" t="s">
        <v>508</v>
      </c>
      <c r="C287" s="834"/>
      <c r="D287" s="834"/>
      <c r="E287" s="834"/>
      <c r="F287" s="848">
        <v>760</v>
      </c>
    </row>
    <row r="288" spans="1:6" s="828" customFormat="1" ht="14.25" customHeight="1" thickBot="1">
      <c r="A288" s="840" t="s">
        <v>529</v>
      </c>
      <c r="B288" s="834" t="s">
        <v>511</v>
      </c>
      <c r="C288" s="834"/>
      <c r="D288" s="834"/>
      <c r="E288" s="834"/>
      <c r="F288" s="848">
        <v>830</v>
      </c>
    </row>
    <row r="289" spans="1:6" s="828" customFormat="1" ht="14.25" customHeight="1" thickBot="1">
      <c r="A289" s="840" t="s">
        <v>529</v>
      </c>
      <c r="B289" s="846" t="s">
        <v>514</v>
      </c>
      <c r="C289" s="846"/>
      <c r="D289" s="846"/>
      <c r="E289" s="846"/>
      <c r="F289" s="851">
        <v>680</v>
      </c>
    </row>
    <row r="290" spans="1:6" s="828" customFormat="1" ht="14.25" customHeight="1" thickBot="1">
      <c r="A290" s="840" t="s">
        <v>533</v>
      </c>
      <c r="B290" s="841" t="s">
        <v>534</v>
      </c>
      <c r="C290" s="841">
        <v>2770</v>
      </c>
      <c r="D290" s="841">
        <v>2740</v>
      </c>
      <c r="E290" s="841">
        <v>2720</v>
      </c>
      <c r="F290" s="854"/>
    </row>
    <row r="291" spans="1:6" s="828" customFormat="1" ht="14.25" customHeight="1" thickBot="1">
      <c r="A291" s="840" t="s">
        <v>533</v>
      </c>
      <c r="B291" s="834" t="s">
        <v>195</v>
      </c>
      <c r="C291" s="834">
        <v>2670</v>
      </c>
      <c r="D291" s="834">
        <v>2640</v>
      </c>
      <c r="E291" s="834">
        <v>2620</v>
      </c>
      <c r="F291" s="852"/>
    </row>
    <row r="292" spans="1:6" s="828" customFormat="1" ht="14.25" customHeight="1" thickBot="1">
      <c r="A292" s="840" t="s">
        <v>533</v>
      </c>
      <c r="B292" s="834" t="s">
        <v>535</v>
      </c>
      <c r="C292" s="834">
        <v>2180</v>
      </c>
      <c r="D292" s="834">
        <v>2140</v>
      </c>
      <c r="E292" s="834">
        <v>2120</v>
      </c>
      <c r="F292" s="848">
        <v>490</v>
      </c>
    </row>
    <row r="293" spans="1:6" s="828" customFormat="1" ht="14.25" customHeight="1" thickBot="1">
      <c r="A293" s="840" t="s">
        <v>533</v>
      </c>
      <c r="B293" s="834" t="s">
        <v>536</v>
      </c>
      <c r="C293" s="834"/>
      <c r="D293" s="834"/>
      <c r="E293" s="834"/>
      <c r="F293" s="848">
        <v>470</v>
      </c>
    </row>
    <row r="294" spans="1:6" s="828" customFormat="1" ht="14.25" customHeight="1" thickBot="1">
      <c r="A294" s="840" t="s">
        <v>533</v>
      </c>
      <c r="B294" s="834" t="s">
        <v>537</v>
      </c>
      <c r="C294" s="834">
        <v>2730</v>
      </c>
      <c r="D294" s="834">
        <v>2700</v>
      </c>
      <c r="E294" s="834">
        <v>2680</v>
      </c>
      <c r="F294" s="848">
        <v>490</v>
      </c>
    </row>
    <row r="295" spans="1:6" s="828" customFormat="1" ht="14.25" customHeight="1" thickBot="1">
      <c r="A295" s="840" t="s">
        <v>533</v>
      </c>
      <c r="B295" s="834" t="s">
        <v>233</v>
      </c>
      <c r="C295" s="834">
        <v>2380</v>
      </c>
      <c r="D295" s="834">
        <v>2350</v>
      </c>
      <c r="E295" s="834">
        <v>2330</v>
      </c>
      <c r="F295" s="848">
        <v>530</v>
      </c>
    </row>
    <row r="296" spans="1:6" s="828" customFormat="1" ht="14.25" customHeight="1" thickBot="1">
      <c r="A296" s="840" t="s">
        <v>533</v>
      </c>
      <c r="B296" s="834" t="s">
        <v>244</v>
      </c>
      <c r="C296" s="834">
        <v>2650</v>
      </c>
      <c r="D296" s="834">
        <v>2620</v>
      </c>
      <c r="E296" s="834">
        <v>2590</v>
      </c>
      <c r="F296" s="848">
        <v>590</v>
      </c>
    </row>
    <row r="297" spans="1:6" s="828" customFormat="1" ht="14.25" customHeight="1" thickBot="1">
      <c r="A297" s="840" t="s">
        <v>533</v>
      </c>
      <c r="B297" s="834" t="s">
        <v>255</v>
      </c>
      <c r="C297" s="834">
        <v>2700</v>
      </c>
      <c r="D297" s="834">
        <v>2670</v>
      </c>
      <c r="E297" s="834">
        <v>2650</v>
      </c>
      <c r="F297" s="848">
        <v>630</v>
      </c>
    </row>
    <row r="298" spans="1:6" s="828" customFormat="1" ht="14.25" customHeight="1" thickBot="1">
      <c r="A298" s="840" t="s">
        <v>533</v>
      </c>
      <c r="B298" s="834" t="s">
        <v>266</v>
      </c>
      <c r="C298" s="834">
        <v>2650</v>
      </c>
      <c r="D298" s="834">
        <v>2620</v>
      </c>
      <c r="E298" s="834">
        <v>2590</v>
      </c>
      <c r="F298" s="848">
        <v>640</v>
      </c>
    </row>
    <row r="299" spans="1:6" s="828" customFormat="1" ht="14.25" customHeight="1" thickBot="1">
      <c r="A299" s="840" t="s">
        <v>533</v>
      </c>
      <c r="B299" s="834" t="s">
        <v>278</v>
      </c>
      <c r="C299" s="834">
        <v>2500</v>
      </c>
      <c r="D299" s="834">
        <v>2480</v>
      </c>
      <c r="E299" s="834">
        <v>2460</v>
      </c>
      <c r="F299" s="852"/>
    </row>
    <row r="300" spans="1:6" s="828" customFormat="1" ht="14.25" customHeight="1" thickBot="1">
      <c r="A300" s="840" t="s">
        <v>533</v>
      </c>
      <c r="B300" s="834" t="s">
        <v>288</v>
      </c>
      <c r="C300" s="834">
        <v>2760</v>
      </c>
      <c r="D300" s="834">
        <v>2730</v>
      </c>
      <c r="E300" s="834">
        <v>2700</v>
      </c>
      <c r="F300" s="848">
        <v>630</v>
      </c>
    </row>
    <row r="301" spans="1:6" s="828" customFormat="1" ht="14.25" customHeight="1" thickBot="1">
      <c r="A301" s="840" t="s">
        <v>533</v>
      </c>
      <c r="B301" s="834" t="s">
        <v>298</v>
      </c>
      <c r="C301" s="834">
        <v>2510</v>
      </c>
      <c r="D301" s="834">
        <v>2480</v>
      </c>
      <c r="E301" s="834">
        <v>2460</v>
      </c>
      <c r="F301" s="852"/>
    </row>
    <row r="302" spans="1:6" s="828" customFormat="1" ht="14.25" customHeight="1" thickBot="1">
      <c r="A302" s="840" t="s">
        <v>533</v>
      </c>
      <c r="B302" s="834" t="s">
        <v>308</v>
      </c>
      <c r="C302" s="834">
        <v>2480</v>
      </c>
      <c r="D302" s="834">
        <v>2450</v>
      </c>
      <c r="E302" s="834">
        <v>2420</v>
      </c>
      <c r="F302" s="848">
        <v>600</v>
      </c>
    </row>
    <row r="303" spans="1:6" s="828" customFormat="1" ht="14.25" customHeight="1" thickBot="1">
      <c r="A303" s="840" t="s">
        <v>533</v>
      </c>
      <c r="B303" s="834" t="s">
        <v>318</v>
      </c>
      <c r="C303" s="834">
        <v>2270</v>
      </c>
      <c r="D303" s="834">
        <v>2240</v>
      </c>
      <c r="E303" s="834">
        <v>2210</v>
      </c>
      <c r="F303" s="848">
        <v>540</v>
      </c>
    </row>
    <row r="304" spans="1:6" s="828" customFormat="1" ht="14.25" customHeight="1" thickBot="1">
      <c r="A304" s="840" t="s">
        <v>533</v>
      </c>
      <c r="B304" s="834" t="s">
        <v>329</v>
      </c>
      <c r="C304" s="834">
        <v>2310</v>
      </c>
      <c r="D304" s="834">
        <v>2290</v>
      </c>
      <c r="E304" s="834">
        <v>2270</v>
      </c>
      <c r="F304" s="852"/>
    </row>
    <row r="305" spans="1:6" s="828" customFormat="1" ht="14.25" customHeight="1" thickBot="1">
      <c r="A305" s="840" t="s">
        <v>533</v>
      </c>
      <c r="B305" s="834" t="s">
        <v>340</v>
      </c>
      <c r="C305" s="834">
        <v>2490</v>
      </c>
      <c r="D305" s="834">
        <v>2470</v>
      </c>
      <c r="E305" s="834">
        <v>2440</v>
      </c>
      <c r="F305" s="848">
        <v>560</v>
      </c>
    </row>
    <row r="306" spans="1:6" s="828" customFormat="1" ht="14.25" customHeight="1" thickBot="1">
      <c r="A306" s="840" t="s">
        <v>533</v>
      </c>
      <c r="B306" s="834" t="s">
        <v>350</v>
      </c>
      <c r="C306" s="834">
        <v>2420</v>
      </c>
      <c r="D306" s="834">
        <v>2400</v>
      </c>
      <c r="E306" s="834">
        <v>2380</v>
      </c>
      <c r="F306" s="852"/>
    </row>
    <row r="307" spans="1:6" s="828" customFormat="1" ht="14.25" customHeight="1" thickBot="1">
      <c r="A307" s="840" t="s">
        <v>533</v>
      </c>
      <c r="B307" s="834" t="s">
        <v>360</v>
      </c>
      <c r="C307" s="834">
        <v>2770</v>
      </c>
      <c r="D307" s="834">
        <v>2740</v>
      </c>
      <c r="E307" s="834">
        <v>2710</v>
      </c>
      <c r="F307" s="848">
        <v>650</v>
      </c>
    </row>
    <row r="308" spans="1:6" s="828" customFormat="1" ht="14.25" customHeight="1" thickBot="1">
      <c r="A308" s="840" t="s">
        <v>533</v>
      </c>
      <c r="B308" s="834" t="s">
        <v>370</v>
      </c>
      <c r="C308" s="834">
        <v>2610</v>
      </c>
      <c r="D308" s="834">
        <v>2580</v>
      </c>
      <c r="E308" s="834">
        <v>2550</v>
      </c>
      <c r="F308" s="848">
        <v>580</v>
      </c>
    </row>
    <row r="309" spans="1:6" s="828" customFormat="1" ht="14.25" customHeight="1" thickBot="1">
      <c r="A309" s="840" t="s">
        <v>533</v>
      </c>
      <c r="B309" s="834" t="s">
        <v>380</v>
      </c>
      <c r="C309" s="834">
        <v>2690</v>
      </c>
      <c r="D309" s="834">
        <v>2670</v>
      </c>
      <c r="E309" s="834">
        <v>2650</v>
      </c>
      <c r="F309" s="852"/>
    </row>
    <row r="310" spans="1:6" s="828" customFormat="1" ht="14.25" customHeight="1" thickBot="1">
      <c r="A310" s="840" t="s">
        <v>533</v>
      </c>
      <c r="B310" s="834" t="s">
        <v>389</v>
      </c>
      <c r="C310" s="834">
        <v>2360</v>
      </c>
      <c r="D310" s="834">
        <v>2330</v>
      </c>
      <c r="E310" s="834">
        <v>2310</v>
      </c>
      <c r="F310" s="848">
        <v>560</v>
      </c>
    </row>
    <row r="311" spans="1:6" s="828" customFormat="1" ht="14.25" customHeight="1" thickBot="1">
      <c r="A311" s="840" t="s">
        <v>533</v>
      </c>
      <c r="B311" s="834" t="s">
        <v>398</v>
      </c>
      <c r="C311" s="834">
        <v>1970</v>
      </c>
      <c r="D311" s="834">
        <v>1950</v>
      </c>
      <c r="E311" s="834">
        <v>1920</v>
      </c>
      <c r="F311" s="848">
        <v>470</v>
      </c>
    </row>
    <row r="312" spans="1:6" s="828" customFormat="1" ht="14.25" customHeight="1" thickBot="1">
      <c r="A312" s="840" t="s">
        <v>533</v>
      </c>
      <c r="B312" s="834" t="s">
        <v>406</v>
      </c>
      <c r="C312" s="834">
        <v>2230</v>
      </c>
      <c r="D312" s="834">
        <v>2200</v>
      </c>
      <c r="E312" s="834">
        <v>2170</v>
      </c>
      <c r="F312" s="848">
        <v>460</v>
      </c>
    </row>
    <row r="313" spans="1:6" s="828" customFormat="1" ht="14.25" customHeight="1" thickBot="1">
      <c r="A313" s="840" t="s">
        <v>533</v>
      </c>
      <c r="B313" s="834" t="s">
        <v>413</v>
      </c>
      <c r="C313" s="834">
        <v>2770</v>
      </c>
      <c r="D313" s="834">
        <v>2740</v>
      </c>
      <c r="E313" s="834">
        <v>2710</v>
      </c>
      <c r="F313" s="848">
        <v>610</v>
      </c>
    </row>
    <row r="314" spans="1:6" s="828" customFormat="1" ht="14.25" customHeight="1" thickBot="1">
      <c r="A314" s="840" t="s">
        <v>533</v>
      </c>
      <c r="B314" s="834" t="s">
        <v>420</v>
      </c>
      <c r="C314" s="834"/>
      <c r="D314" s="834"/>
      <c r="E314" s="834"/>
      <c r="F314" s="848">
        <v>490</v>
      </c>
    </row>
    <row r="315" spans="1:6" s="828" customFormat="1" ht="14.25" customHeight="1" thickBot="1">
      <c r="A315" s="840" t="s">
        <v>533</v>
      </c>
      <c r="B315" s="834" t="s">
        <v>427</v>
      </c>
      <c r="C315" s="834"/>
      <c r="D315" s="834"/>
      <c r="E315" s="834"/>
      <c r="F315" s="848">
        <v>520</v>
      </c>
    </row>
    <row r="316" spans="1:6" s="828" customFormat="1" ht="14.25" customHeight="1" thickBot="1">
      <c r="A316" s="840" t="s">
        <v>533</v>
      </c>
      <c r="B316" s="846" t="s">
        <v>434</v>
      </c>
      <c r="C316" s="846"/>
      <c r="D316" s="846"/>
      <c r="E316" s="846"/>
      <c r="F316" s="851">
        <v>460</v>
      </c>
    </row>
    <row r="317" spans="1:6" s="828" customFormat="1" ht="14.25" customHeight="1" thickBot="1">
      <c r="A317" s="840" t="s">
        <v>320</v>
      </c>
      <c r="B317" s="841" t="s">
        <v>538</v>
      </c>
      <c r="C317" s="841">
        <v>1200</v>
      </c>
      <c r="D317" s="841">
        <v>1180</v>
      </c>
      <c r="E317" s="841">
        <v>1160</v>
      </c>
      <c r="F317" s="842">
        <v>370</v>
      </c>
    </row>
    <row r="318" spans="1:6" s="828" customFormat="1" ht="14.25" customHeight="1" thickBot="1">
      <c r="A318" s="840" t="s">
        <v>320</v>
      </c>
      <c r="B318" s="834" t="s">
        <v>539</v>
      </c>
      <c r="C318" s="834">
        <v>1090</v>
      </c>
      <c r="D318" s="834">
        <v>1060</v>
      </c>
      <c r="E318" s="834">
        <v>1040</v>
      </c>
      <c r="F318" s="852"/>
    </row>
    <row r="319" spans="1:6" s="828" customFormat="1" ht="14.25" customHeight="1" thickBot="1">
      <c r="A319" s="840" t="s">
        <v>320</v>
      </c>
      <c r="B319" s="834" t="s">
        <v>540</v>
      </c>
      <c r="C319" s="834">
        <v>1520</v>
      </c>
      <c r="D319" s="834">
        <v>1470</v>
      </c>
      <c r="E319" s="834">
        <v>1440</v>
      </c>
      <c r="F319" s="848">
        <v>370</v>
      </c>
    </row>
    <row r="320" spans="1:6" s="828" customFormat="1" ht="14.25" customHeight="1" thickBot="1">
      <c r="A320" s="840" t="s">
        <v>320</v>
      </c>
      <c r="B320" s="834" t="s">
        <v>222</v>
      </c>
      <c r="C320" s="834">
        <v>1360</v>
      </c>
      <c r="D320" s="834">
        <v>1300</v>
      </c>
      <c r="E320" s="834">
        <v>1270</v>
      </c>
      <c r="F320" s="852"/>
    </row>
    <row r="321" spans="1:6" s="828" customFormat="1" ht="14.25" customHeight="1" thickBot="1">
      <c r="A321" s="840" t="s">
        <v>320</v>
      </c>
      <c r="B321" s="834" t="s">
        <v>234</v>
      </c>
      <c r="C321" s="834">
        <v>1750</v>
      </c>
      <c r="D321" s="834">
        <v>1690</v>
      </c>
      <c r="E321" s="834">
        <v>1660</v>
      </c>
      <c r="F321" s="852"/>
    </row>
    <row r="322" spans="1:6" s="828" customFormat="1" ht="14.25" customHeight="1" thickBot="1">
      <c r="A322" s="840" t="s">
        <v>320</v>
      </c>
      <c r="B322" s="834" t="s">
        <v>245</v>
      </c>
      <c r="C322" s="834">
        <v>1650</v>
      </c>
      <c r="D322" s="834">
        <v>1610</v>
      </c>
      <c r="E322" s="834">
        <v>1580</v>
      </c>
      <c r="F322" s="848">
        <v>500</v>
      </c>
    </row>
    <row r="323" spans="1:6" s="828" customFormat="1" ht="14.25" customHeight="1" thickBot="1">
      <c r="A323" s="840" t="s">
        <v>320</v>
      </c>
      <c r="B323" s="834" t="s">
        <v>256</v>
      </c>
      <c r="C323" s="834">
        <v>1780</v>
      </c>
      <c r="D323" s="834">
        <v>1740</v>
      </c>
      <c r="E323" s="834">
        <v>1720</v>
      </c>
      <c r="F323" s="852"/>
    </row>
    <row r="324" spans="1:6" s="828" customFormat="1" ht="14.25" customHeight="1" thickBot="1">
      <c r="A324" s="840" t="s">
        <v>320</v>
      </c>
      <c r="B324" s="834" t="s">
        <v>267</v>
      </c>
      <c r="C324" s="834">
        <v>1650</v>
      </c>
      <c r="D324" s="834">
        <v>1610</v>
      </c>
      <c r="E324" s="834">
        <v>1580</v>
      </c>
      <c r="F324" s="852"/>
    </row>
    <row r="325" spans="1:6" s="828" customFormat="1" ht="14.25" customHeight="1" thickBot="1">
      <c r="A325" s="840" t="s">
        <v>320</v>
      </c>
      <c r="B325" s="834" t="s">
        <v>279</v>
      </c>
      <c r="C325" s="834">
        <v>1330</v>
      </c>
      <c r="D325" s="834">
        <v>1270</v>
      </c>
      <c r="E325" s="834">
        <v>1240</v>
      </c>
      <c r="F325" s="848">
        <v>430</v>
      </c>
    </row>
    <row r="326" spans="1:6" s="828" customFormat="1" ht="14.25" customHeight="1" thickBot="1">
      <c r="A326" s="840" t="s">
        <v>320</v>
      </c>
      <c r="B326" s="834" t="s">
        <v>289</v>
      </c>
      <c r="C326" s="834">
        <v>1470</v>
      </c>
      <c r="D326" s="834">
        <v>1430</v>
      </c>
      <c r="E326" s="834">
        <v>1400</v>
      </c>
      <c r="F326" s="852"/>
    </row>
    <row r="327" spans="1:6" s="828" customFormat="1" ht="14.25" customHeight="1" thickBot="1">
      <c r="A327" s="840" t="s">
        <v>320</v>
      </c>
      <c r="B327" s="834" t="s">
        <v>299</v>
      </c>
      <c r="C327" s="834">
        <v>1420</v>
      </c>
      <c r="D327" s="834">
        <v>1380</v>
      </c>
      <c r="E327" s="834">
        <v>1360</v>
      </c>
      <c r="F327" s="848">
        <v>420</v>
      </c>
    </row>
    <row r="328" spans="1:6" s="828" customFormat="1" ht="14.25" customHeight="1" thickBot="1">
      <c r="A328" s="840" t="s">
        <v>320</v>
      </c>
      <c r="B328" s="834" t="s">
        <v>309</v>
      </c>
      <c r="C328" s="834">
        <v>1400</v>
      </c>
      <c r="D328" s="834">
        <v>1360</v>
      </c>
      <c r="E328" s="834">
        <v>1330</v>
      </c>
      <c r="F328" s="848">
        <v>460</v>
      </c>
    </row>
    <row r="329" spans="1:6" s="828" customFormat="1" ht="14.25" customHeight="1" thickBot="1">
      <c r="A329" s="840" t="s">
        <v>320</v>
      </c>
      <c r="B329" s="834" t="s">
        <v>319</v>
      </c>
      <c r="C329" s="834">
        <v>1640</v>
      </c>
      <c r="D329" s="834">
        <v>1610</v>
      </c>
      <c r="E329" s="834">
        <v>1580</v>
      </c>
      <c r="F329" s="848">
        <v>410</v>
      </c>
    </row>
    <row r="330" spans="1:6" s="828" customFormat="1" ht="14.25" customHeight="1" thickBot="1">
      <c r="A330" s="840" t="s">
        <v>320</v>
      </c>
      <c r="B330" s="834" t="s">
        <v>330</v>
      </c>
      <c r="C330" s="834">
        <v>1260</v>
      </c>
      <c r="D330" s="834">
        <v>1220</v>
      </c>
      <c r="E330" s="834">
        <v>1200</v>
      </c>
      <c r="F330" s="852"/>
    </row>
    <row r="331" spans="1:6" s="828" customFormat="1" ht="14.25" customHeight="1" thickBot="1">
      <c r="A331" s="840" t="s">
        <v>320</v>
      </c>
      <c r="B331" s="834" t="s">
        <v>341</v>
      </c>
      <c r="C331" s="834">
        <v>1620</v>
      </c>
      <c r="D331" s="834">
        <v>1560</v>
      </c>
      <c r="E331" s="834">
        <v>1530</v>
      </c>
      <c r="F331" s="848">
        <v>490</v>
      </c>
    </row>
    <row r="332" spans="1:6" s="828" customFormat="1" ht="14.25" customHeight="1" thickBot="1">
      <c r="A332" s="840" t="s">
        <v>320</v>
      </c>
      <c r="B332" s="834" t="s">
        <v>351</v>
      </c>
      <c r="C332" s="834">
        <v>1520</v>
      </c>
      <c r="D332" s="834">
        <v>1470</v>
      </c>
      <c r="E332" s="834">
        <v>1440</v>
      </c>
      <c r="F332" s="848">
        <v>440</v>
      </c>
    </row>
    <row r="333" spans="1:6" s="828" customFormat="1" ht="14.25" customHeight="1" thickBot="1">
      <c r="A333" s="840" t="s">
        <v>320</v>
      </c>
      <c r="B333" s="834" t="s">
        <v>361</v>
      </c>
      <c r="C333" s="834">
        <v>1370</v>
      </c>
      <c r="D333" s="834">
        <v>1320</v>
      </c>
      <c r="E333" s="834">
        <v>1300</v>
      </c>
      <c r="F333" s="848">
        <v>460</v>
      </c>
    </row>
    <row r="334" spans="1:6" s="828" customFormat="1" ht="14.25" customHeight="1" thickBot="1">
      <c r="A334" s="840" t="s">
        <v>320</v>
      </c>
      <c r="B334" s="834" t="s">
        <v>371</v>
      </c>
      <c r="C334" s="834">
        <v>1410</v>
      </c>
      <c r="D334" s="834">
        <v>1340</v>
      </c>
      <c r="E334" s="834">
        <v>1310</v>
      </c>
      <c r="F334" s="848">
        <v>410</v>
      </c>
    </row>
    <row r="335" spans="1:6" s="828" customFormat="1" ht="14.25" customHeight="1" thickBot="1">
      <c r="A335" s="840" t="s">
        <v>320</v>
      </c>
      <c r="B335" s="834" t="s">
        <v>381</v>
      </c>
      <c r="C335" s="834">
        <v>1260</v>
      </c>
      <c r="D335" s="834">
        <v>1220</v>
      </c>
      <c r="E335" s="834">
        <v>1200</v>
      </c>
      <c r="F335" s="852"/>
    </row>
    <row r="336" spans="1:6" s="828" customFormat="1" ht="14.25" customHeight="1" thickBot="1">
      <c r="A336" s="840" t="s">
        <v>320</v>
      </c>
      <c r="B336" s="834" t="s">
        <v>390</v>
      </c>
      <c r="C336" s="834">
        <v>1160</v>
      </c>
      <c r="D336" s="834">
        <v>1140</v>
      </c>
      <c r="E336" s="834">
        <v>1120</v>
      </c>
      <c r="F336" s="848">
        <v>430</v>
      </c>
    </row>
    <row r="337" spans="1:6" s="828" customFormat="1" ht="14.25" customHeight="1" thickBot="1">
      <c r="A337" s="840" t="s">
        <v>320</v>
      </c>
      <c r="B337" s="846" t="s">
        <v>399</v>
      </c>
      <c r="C337" s="846"/>
      <c r="D337" s="846"/>
      <c r="E337" s="846"/>
      <c r="F337" s="851">
        <v>380</v>
      </c>
    </row>
    <row r="338" spans="1:6" s="828" customFormat="1" ht="14.25" customHeight="1" thickBot="1">
      <c r="A338" s="840" t="s">
        <v>331</v>
      </c>
      <c r="B338" s="841" t="s">
        <v>541</v>
      </c>
      <c r="C338" s="841">
        <v>880</v>
      </c>
      <c r="D338" s="841">
        <v>850</v>
      </c>
      <c r="E338" s="841">
        <v>830</v>
      </c>
      <c r="F338" s="854"/>
    </row>
    <row r="339" spans="1:6" s="828" customFormat="1" ht="14.25" customHeight="1" thickBot="1">
      <c r="A339" s="840" t="s">
        <v>331</v>
      </c>
      <c r="B339" s="834" t="s">
        <v>542</v>
      </c>
      <c r="C339" s="834">
        <v>830</v>
      </c>
      <c r="D339" s="834">
        <v>800</v>
      </c>
      <c r="E339" s="834">
        <v>780</v>
      </c>
      <c r="F339" s="852"/>
    </row>
    <row r="340" spans="1:6" s="828" customFormat="1" ht="14.25" customHeight="1" thickBot="1">
      <c r="A340" s="840" t="s">
        <v>331</v>
      </c>
      <c r="B340" s="834" t="s">
        <v>543</v>
      </c>
      <c r="C340" s="834">
        <v>980</v>
      </c>
      <c r="D340" s="834">
        <v>950</v>
      </c>
      <c r="E340" s="834">
        <v>920</v>
      </c>
      <c r="F340" s="852"/>
    </row>
    <row r="341" spans="1:6" s="828" customFormat="1" ht="14.25" customHeight="1" thickBot="1">
      <c r="A341" s="840" t="s">
        <v>331</v>
      </c>
      <c r="B341" s="834" t="s">
        <v>544</v>
      </c>
      <c r="C341" s="834">
        <v>760</v>
      </c>
      <c r="D341" s="834">
        <v>720</v>
      </c>
      <c r="E341" s="834">
        <v>690</v>
      </c>
      <c r="F341" s="848">
        <v>350</v>
      </c>
    </row>
    <row r="342" spans="1:6" s="828" customFormat="1" ht="14.25" customHeight="1" thickBot="1">
      <c r="A342" s="840" t="s">
        <v>331</v>
      </c>
      <c r="B342" s="834" t="s">
        <v>235</v>
      </c>
      <c r="C342" s="834">
        <v>910</v>
      </c>
      <c r="D342" s="834">
        <v>870</v>
      </c>
      <c r="E342" s="834">
        <v>850</v>
      </c>
      <c r="F342" s="848">
        <v>370</v>
      </c>
    </row>
    <row r="343" spans="1:6" s="828" customFormat="1" ht="14.25" customHeight="1" thickBot="1">
      <c r="A343" s="840" t="s">
        <v>331</v>
      </c>
      <c r="B343" s="834" t="s">
        <v>246</v>
      </c>
      <c r="C343" s="834">
        <v>800</v>
      </c>
      <c r="D343" s="834">
        <v>760</v>
      </c>
      <c r="E343" s="834">
        <v>730</v>
      </c>
      <c r="F343" s="848">
        <v>340</v>
      </c>
    </row>
    <row r="344" spans="1:6" s="828" customFormat="1" ht="14.25" customHeight="1" thickBot="1">
      <c r="A344" s="840" t="s">
        <v>331</v>
      </c>
      <c r="B344" s="846" t="s">
        <v>257</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870</v>
      </c>
      <c r="B1" s="3285"/>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40" t="s">
        <v>877</v>
      </c>
      <c r="B5" s="841" t="s">
        <v>878</v>
      </c>
      <c r="C5" s="1064">
        <v>8.8999999999999996E-2</v>
      </c>
      <c r="D5" s="1064">
        <v>7.3999999999999996E-2</v>
      </c>
      <c r="E5" s="1064">
        <v>7.4999999999999997E-2</v>
      </c>
      <c r="F5" s="1065">
        <v>0.1</v>
      </c>
    </row>
    <row r="6" spans="1:6" ht="14.25" thickBot="1">
      <c r="A6" s="840" t="s">
        <v>211</v>
      </c>
      <c r="B6" s="834" t="s">
        <v>879</v>
      </c>
      <c r="C6" s="1066">
        <v>0.1</v>
      </c>
      <c r="D6" s="1066">
        <v>9.0999999999999998E-2</v>
      </c>
      <c r="E6" s="1066">
        <v>9.0999999999999998E-2</v>
      </c>
      <c r="F6" s="1067">
        <v>0.1</v>
      </c>
    </row>
    <row r="7" spans="1:6" ht="14.25" thickBot="1">
      <c r="A7" s="840" t="s">
        <v>211</v>
      </c>
      <c r="B7" s="844" t="s">
        <v>200</v>
      </c>
      <c r="C7" s="1066">
        <v>8.5999999999999993E-2</v>
      </c>
      <c r="D7" s="1066">
        <v>9.6000000000000002E-2</v>
      </c>
      <c r="E7" s="1066">
        <v>7.5999999999999998E-2</v>
      </c>
      <c r="F7" s="1067">
        <v>0.1</v>
      </c>
    </row>
    <row r="8" spans="1:6" ht="14.25" thickBot="1">
      <c r="A8" s="840" t="s">
        <v>211</v>
      </c>
      <c r="B8" s="834" t="s">
        <v>212</v>
      </c>
      <c r="C8" s="1066">
        <v>9.9000000000000005E-2</v>
      </c>
      <c r="D8" s="1066">
        <v>9.8000000000000004E-2</v>
      </c>
      <c r="E8" s="1066">
        <v>9.8000000000000004E-2</v>
      </c>
      <c r="F8" s="1067">
        <v>0.1</v>
      </c>
    </row>
    <row r="9" spans="1:6" ht="14.25" thickBot="1">
      <c r="A9" s="850" t="s">
        <v>211</v>
      </c>
      <c r="B9" s="845" t="s">
        <v>224</v>
      </c>
      <c r="C9" s="1068">
        <v>0.05</v>
      </c>
      <c r="D9" s="1076"/>
      <c r="E9" s="1076"/>
      <c r="F9" s="1077"/>
    </row>
    <row r="10" spans="1:6" ht="14.25" thickBot="1">
      <c r="A10" s="840" t="s">
        <v>268</v>
      </c>
      <c r="B10" s="841" t="s">
        <v>880</v>
      </c>
      <c r="C10" s="1064">
        <v>8.8999999999999996E-2</v>
      </c>
      <c r="D10" s="1064">
        <v>7.2999999999999995E-2</v>
      </c>
      <c r="E10" s="1064">
        <v>8.2000000000000003E-2</v>
      </c>
      <c r="F10" s="1065">
        <v>0.1</v>
      </c>
    </row>
    <row r="11" spans="1:6" ht="14.25" thickBot="1">
      <c r="A11" s="840" t="s">
        <v>268</v>
      </c>
      <c r="B11" s="844" t="s">
        <v>187</v>
      </c>
      <c r="C11" s="1066">
        <v>8.8999999999999996E-2</v>
      </c>
      <c r="D11" s="1066">
        <v>7.2999999999999995E-2</v>
      </c>
      <c r="E11" s="1066">
        <v>8.2000000000000003E-2</v>
      </c>
      <c r="F11" s="1067">
        <v>0.1</v>
      </c>
    </row>
    <row r="12" spans="1:6" ht="14.25" thickBot="1">
      <c r="A12" s="840" t="s">
        <v>268</v>
      </c>
      <c r="B12" s="844" t="s">
        <v>137</v>
      </c>
      <c r="C12" s="1066">
        <v>6.0999999999999999E-2</v>
      </c>
      <c r="D12" s="1066">
        <v>7.0999999999999994E-2</v>
      </c>
      <c r="E12" s="1066">
        <v>9.6000000000000002E-2</v>
      </c>
      <c r="F12" s="1067">
        <v>0.1</v>
      </c>
    </row>
    <row r="13" spans="1:6" ht="14.25" thickBot="1">
      <c r="A13" s="840" t="s">
        <v>268</v>
      </c>
      <c r="B13" s="844" t="s">
        <v>213</v>
      </c>
      <c r="C13" s="1066">
        <v>6.9000000000000006E-2</v>
      </c>
      <c r="D13" s="1066">
        <v>6.5000000000000002E-2</v>
      </c>
      <c r="E13" s="1066">
        <v>6.6000000000000003E-2</v>
      </c>
      <c r="F13" s="1067">
        <v>0.1</v>
      </c>
    </row>
    <row r="14" spans="1:6" ht="14.25" thickBot="1">
      <c r="A14" s="840" t="s">
        <v>268</v>
      </c>
      <c r="B14" s="844" t="s">
        <v>225</v>
      </c>
      <c r="C14" s="1066">
        <v>0.1</v>
      </c>
      <c r="D14" s="1066">
        <v>6.5000000000000002E-2</v>
      </c>
      <c r="E14" s="1066">
        <v>7.0000000000000007E-2</v>
      </c>
      <c r="F14" s="1067">
        <v>0.1</v>
      </c>
    </row>
    <row r="15" spans="1:6" ht="14.25" thickBot="1">
      <c r="A15" s="840" t="s">
        <v>268</v>
      </c>
      <c r="B15" s="844" t="s">
        <v>236</v>
      </c>
      <c r="C15" s="1066">
        <v>9.8000000000000004E-2</v>
      </c>
      <c r="D15" s="1066">
        <v>8.8999999999999996E-2</v>
      </c>
      <c r="E15" s="1066">
        <v>8.8999999999999996E-2</v>
      </c>
      <c r="F15" s="1067">
        <v>0.1</v>
      </c>
    </row>
    <row r="16" spans="1:6" ht="14.25" thickBot="1">
      <c r="A16" s="840" t="s">
        <v>268</v>
      </c>
      <c r="B16" s="844" t="s">
        <v>247</v>
      </c>
      <c r="C16" s="1066">
        <v>7.0000000000000007E-2</v>
      </c>
      <c r="D16" s="1066">
        <v>9.2999999999999999E-2</v>
      </c>
      <c r="E16" s="1066">
        <v>9.6000000000000002E-2</v>
      </c>
      <c r="F16" s="1067">
        <v>0.1</v>
      </c>
    </row>
    <row r="17" spans="1:6" ht="14.25" thickBot="1">
      <c r="A17" s="840" t="s">
        <v>268</v>
      </c>
      <c r="B17" s="844" t="s">
        <v>258</v>
      </c>
      <c r="C17" s="1066">
        <v>9.5000000000000001E-2</v>
      </c>
      <c r="D17" s="1066">
        <v>0.1</v>
      </c>
      <c r="E17" s="1066">
        <v>0.1</v>
      </c>
      <c r="F17" s="1078"/>
    </row>
    <row r="18" spans="1:6" ht="14.25" thickBot="1">
      <c r="A18" s="840" t="s">
        <v>268</v>
      </c>
      <c r="B18" s="844" t="s">
        <v>270</v>
      </c>
      <c r="C18" s="1066">
        <v>7.3999999999999996E-2</v>
      </c>
      <c r="D18" s="1066">
        <v>9.9000000000000005E-2</v>
      </c>
      <c r="E18" s="1066">
        <v>0.1</v>
      </c>
      <c r="F18" s="1078"/>
    </row>
    <row r="19" spans="1:6" ht="14.25" thickBot="1">
      <c r="A19" s="840" t="s">
        <v>268</v>
      </c>
      <c r="B19" s="844" t="s">
        <v>280</v>
      </c>
      <c r="C19" s="1066">
        <v>9.9000000000000005E-2</v>
      </c>
      <c r="D19" s="1066">
        <v>7.5999999999999998E-2</v>
      </c>
      <c r="E19" s="1066">
        <v>8.6999999999999994E-2</v>
      </c>
      <c r="F19" s="1078"/>
    </row>
    <row r="20" spans="1:6" ht="14.25" thickBot="1">
      <c r="A20" s="840" t="s">
        <v>268</v>
      </c>
      <c r="B20" s="844" t="s">
        <v>290</v>
      </c>
      <c r="C20" s="1066">
        <v>9.8000000000000004E-2</v>
      </c>
      <c r="D20" s="1066">
        <v>8.5000000000000006E-2</v>
      </c>
      <c r="E20" s="1066">
        <v>8.2000000000000003E-2</v>
      </c>
      <c r="F20" s="1078"/>
    </row>
    <row r="21" spans="1:6" ht="14.25" thickBot="1">
      <c r="A21" s="840" t="s">
        <v>268</v>
      </c>
      <c r="B21" s="844" t="s">
        <v>300</v>
      </c>
      <c r="C21" s="1066">
        <v>6.6000000000000003E-2</v>
      </c>
      <c r="D21" s="1066">
        <v>6.4000000000000001E-2</v>
      </c>
      <c r="E21" s="1066">
        <v>6.5000000000000002E-2</v>
      </c>
      <c r="F21" s="1078"/>
    </row>
    <row r="22" spans="1:6" ht="14.25" thickBot="1">
      <c r="A22" s="840" t="s">
        <v>268</v>
      </c>
      <c r="B22" s="844" t="s">
        <v>881</v>
      </c>
      <c r="C22" s="1066">
        <v>0.08</v>
      </c>
      <c r="D22" s="1066">
        <v>9.8000000000000004E-2</v>
      </c>
      <c r="E22" s="1066">
        <v>9.8000000000000004E-2</v>
      </c>
      <c r="F22" s="1078"/>
    </row>
    <row r="23" spans="1:6" ht="14.25" thickBot="1">
      <c r="A23" s="840" t="s">
        <v>268</v>
      </c>
      <c r="B23" s="844" t="s">
        <v>321</v>
      </c>
      <c r="C23" s="1066">
        <v>9.9000000000000005E-2</v>
      </c>
      <c r="D23" s="1066">
        <v>9.8000000000000004E-2</v>
      </c>
      <c r="E23" s="1066">
        <v>9.0999999999999998E-2</v>
      </c>
      <c r="F23" s="1078"/>
    </row>
    <row r="24" spans="1:6" ht="14.25" thickBot="1">
      <c r="A24" s="840" t="s">
        <v>268</v>
      </c>
      <c r="B24" s="844" t="s">
        <v>332</v>
      </c>
      <c r="C24" s="1066">
        <v>8.8999999999999996E-2</v>
      </c>
      <c r="D24" s="1066">
        <v>9.7000000000000003E-2</v>
      </c>
      <c r="E24" s="1066">
        <v>7.0000000000000007E-2</v>
      </c>
      <c r="F24" s="1078"/>
    </row>
    <row r="25" spans="1:6" ht="14.25" thickBot="1">
      <c r="A25" s="840" t="s">
        <v>268</v>
      </c>
      <c r="B25" s="844" t="s">
        <v>342</v>
      </c>
      <c r="C25" s="1066">
        <v>8.8999999999999996E-2</v>
      </c>
      <c r="D25" s="1066">
        <v>0.1</v>
      </c>
      <c r="E25" s="1066">
        <v>8.1000000000000003E-2</v>
      </c>
      <c r="F25" s="1078"/>
    </row>
    <row r="26" spans="1:6" ht="14.25" thickBot="1">
      <c r="A26" s="840" t="s">
        <v>268</v>
      </c>
      <c r="B26" s="844" t="s">
        <v>352</v>
      </c>
      <c r="C26" s="1079"/>
      <c r="D26" s="1066">
        <v>9.6000000000000002E-2</v>
      </c>
      <c r="E26" s="1066">
        <v>9.2999999999999999E-2</v>
      </c>
      <c r="F26" s="1078"/>
    </row>
    <row r="27" spans="1:6" ht="14.25" thickBot="1">
      <c r="A27" s="840" t="s">
        <v>268</v>
      </c>
      <c r="B27" s="844" t="s">
        <v>362</v>
      </c>
      <c r="C27" s="1079"/>
      <c r="D27" s="1066">
        <v>7.5999999999999998E-2</v>
      </c>
      <c r="E27" s="1066">
        <v>9.1999999999999998E-2</v>
      </c>
      <c r="F27" s="1078"/>
    </row>
    <row r="28" spans="1:6" ht="14.25" thickBot="1">
      <c r="A28" s="850" t="s">
        <v>268</v>
      </c>
      <c r="B28" s="845" t="s">
        <v>372</v>
      </c>
      <c r="C28" s="1076"/>
      <c r="D28" s="1068">
        <v>7.5999999999999998E-2</v>
      </c>
      <c r="E28" s="1068">
        <v>9.1999999999999998E-2</v>
      </c>
      <c r="F28" s="1077"/>
    </row>
    <row r="29" spans="1:6" ht="14.25" thickBot="1">
      <c r="A29" s="840" t="s">
        <v>441</v>
      </c>
      <c r="B29" s="841" t="s">
        <v>882</v>
      </c>
      <c r="C29" s="1064">
        <v>6.4000000000000001E-2</v>
      </c>
      <c r="D29" s="1064">
        <v>6.5000000000000002E-2</v>
      </c>
      <c r="E29" s="1064">
        <v>6.9000000000000006E-2</v>
      </c>
      <c r="F29" s="1065">
        <v>0.1</v>
      </c>
    </row>
    <row r="30" spans="1:6" ht="14.25" thickBot="1">
      <c r="A30" s="840" t="s">
        <v>441</v>
      </c>
      <c r="B30" s="844" t="s">
        <v>188</v>
      </c>
      <c r="C30" s="1066">
        <v>6.4000000000000001E-2</v>
      </c>
      <c r="D30" s="1066">
        <v>9.9000000000000005E-2</v>
      </c>
      <c r="E30" s="1066">
        <v>0.1</v>
      </c>
      <c r="F30" s="1067">
        <v>0.1</v>
      </c>
    </row>
    <row r="31" spans="1:6" ht="14.25" thickBot="1">
      <c r="A31" s="840" t="s">
        <v>441</v>
      </c>
      <c r="B31" s="844" t="s">
        <v>201</v>
      </c>
      <c r="C31" s="1066">
        <v>0.1</v>
      </c>
      <c r="D31" s="1066">
        <v>9.5000000000000001E-2</v>
      </c>
      <c r="E31" s="1066">
        <v>8.8999999999999996E-2</v>
      </c>
      <c r="F31" s="1067">
        <v>0.1</v>
      </c>
    </row>
    <row r="32" spans="1:6" ht="14.25" thickBot="1">
      <c r="A32" s="840" t="s">
        <v>441</v>
      </c>
      <c r="B32" s="844" t="s">
        <v>214</v>
      </c>
      <c r="C32" s="1066">
        <v>0.05</v>
      </c>
      <c r="D32" s="1066">
        <v>0.05</v>
      </c>
      <c r="E32" s="1066">
        <v>8.7999999999999995E-2</v>
      </c>
      <c r="F32" s="1067">
        <v>0.1</v>
      </c>
    </row>
    <row r="33" spans="1:6" ht="14.25" thickBot="1">
      <c r="A33" s="840" t="s">
        <v>441</v>
      </c>
      <c r="B33" s="844" t="s">
        <v>226</v>
      </c>
      <c r="C33" s="1066">
        <v>7.4999999999999997E-2</v>
      </c>
      <c r="D33" s="1066">
        <v>9.4E-2</v>
      </c>
      <c r="E33" s="1066">
        <v>9.7000000000000003E-2</v>
      </c>
      <c r="F33" s="1067">
        <v>0.1</v>
      </c>
    </row>
    <row r="34" spans="1:6" ht="14.25" thickBot="1">
      <c r="A34" s="840" t="s">
        <v>441</v>
      </c>
      <c r="B34" s="844" t="s">
        <v>237</v>
      </c>
      <c r="C34" s="1066">
        <v>9.8000000000000004E-2</v>
      </c>
      <c r="D34" s="1066">
        <v>8.5999999999999993E-2</v>
      </c>
      <c r="E34" s="1066">
        <v>9.7000000000000003E-2</v>
      </c>
      <c r="F34" s="1067">
        <v>0.1</v>
      </c>
    </row>
    <row r="35" spans="1:6" ht="14.25" thickBot="1">
      <c r="A35" s="840" t="s">
        <v>441</v>
      </c>
      <c r="B35" s="844" t="s">
        <v>248</v>
      </c>
      <c r="C35" s="1066">
        <v>5.8999999999999997E-2</v>
      </c>
      <c r="D35" s="1066">
        <v>6.5000000000000002E-2</v>
      </c>
      <c r="E35" s="1066">
        <v>7.0000000000000007E-2</v>
      </c>
      <c r="F35" s="1067">
        <v>0.1</v>
      </c>
    </row>
    <row r="36" spans="1:6" ht="14.25" thickBot="1">
      <c r="A36" s="840" t="s">
        <v>441</v>
      </c>
      <c r="B36" s="844" t="s">
        <v>259</v>
      </c>
      <c r="C36" s="1066">
        <v>6.3E-2</v>
      </c>
      <c r="D36" s="1066">
        <v>0.1</v>
      </c>
      <c r="E36" s="1066">
        <v>0.1</v>
      </c>
      <c r="F36" s="1067">
        <v>0.1</v>
      </c>
    </row>
    <row r="37" spans="1:6" ht="14.25" thickBot="1">
      <c r="A37" s="840" t="s">
        <v>441</v>
      </c>
      <c r="B37" s="844" t="s">
        <v>271</v>
      </c>
      <c r="C37" s="1066">
        <v>7.3999999999999996E-2</v>
      </c>
      <c r="D37" s="1066">
        <v>0.1</v>
      </c>
      <c r="E37" s="1066">
        <v>0.1</v>
      </c>
      <c r="F37" s="1067">
        <v>0.1</v>
      </c>
    </row>
    <row r="38" spans="1:6" ht="14.25" thickBot="1">
      <c r="A38" s="840" t="s">
        <v>441</v>
      </c>
      <c r="B38" s="844" t="s">
        <v>281</v>
      </c>
      <c r="C38" s="1066">
        <v>0.1</v>
      </c>
      <c r="D38" s="1066">
        <v>9.6000000000000002E-2</v>
      </c>
      <c r="E38" s="1066">
        <v>9.6000000000000002E-2</v>
      </c>
      <c r="F38" s="1078"/>
    </row>
    <row r="39" spans="1:6" ht="14.25" thickBot="1">
      <c r="A39" s="840" t="s">
        <v>441</v>
      </c>
      <c r="B39" s="844" t="s">
        <v>291</v>
      </c>
      <c r="C39" s="1066">
        <v>0.1</v>
      </c>
      <c r="D39" s="1066">
        <v>9.6000000000000002E-2</v>
      </c>
      <c r="E39" s="1066">
        <v>9.6000000000000002E-2</v>
      </c>
      <c r="F39" s="1078"/>
    </row>
    <row r="40" spans="1:6" ht="14.25" thickBot="1">
      <c r="A40" s="840" t="s">
        <v>441</v>
      </c>
      <c r="B40" s="844" t="s">
        <v>301</v>
      </c>
      <c r="C40" s="1066">
        <v>9.6000000000000002E-2</v>
      </c>
      <c r="D40" s="1066">
        <v>0.1</v>
      </c>
      <c r="E40" s="1066">
        <v>9.9000000000000005E-2</v>
      </c>
      <c r="F40" s="1078"/>
    </row>
    <row r="41" spans="1:6" ht="14.25" thickBot="1">
      <c r="A41" s="840" t="s">
        <v>441</v>
      </c>
      <c r="B41" s="844" t="s">
        <v>311</v>
      </c>
      <c r="C41" s="1066">
        <v>9.6000000000000002E-2</v>
      </c>
      <c r="D41" s="1066">
        <v>9.8000000000000004E-2</v>
      </c>
      <c r="E41" s="1066">
        <v>9.8000000000000004E-2</v>
      </c>
      <c r="F41" s="1078"/>
    </row>
    <row r="42" spans="1:6" ht="14.25" thickBot="1">
      <c r="A42" s="840" t="s">
        <v>441</v>
      </c>
      <c r="B42" s="844" t="s">
        <v>322</v>
      </c>
      <c r="C42" s="1066">
        <v>0.1</v>
      </c>
      <c r="D42" s="1066">
        <v>8.7999999999999995E-2</v>
      </c>
      <c r="E42" s="1066">
        <v>0.1</v>
      </c>
      <c r="F42" s="1078"/>
    </row>
    <row r="43" spans="1:6" ht="14.25" thickBot="1">
      <c r="A43" s="840" t="s">
        <v>441</v>
      </c>
      <c r="B43" s="844" t="s">
        <v>333</v>
      </c>
      <c r="C43" s="1066">
        <v>9.8000000000000004E-2</v>
      </c>
      <c r="D43" s="1066">
        <v>9.7000000000000003E-2</v>
      </c>
      <c r="E43" s="1066">
        <v>9.6000000000000002E-2</v>
      </c>
      <c r="F43" s="1078"/>
    </row>
    <row r="44" spans="1:6" ht="14.25" thickBot="1">
      <c r="A44" s="840" t="s">
        <v>441</v>
      </c>
      <c r="B44" s="844" t="s">
        <v>343</v>
      </c>
      <c r="C44" s="1066">
        <v>8.5999999999999993E-2</v>
      </c>
      <c r="D44" s="1066">
        <v>7.9000000000000001E-2</v>
      </c>
      <c r="E44" s="1066">
        <v>7.0999999999999994E-2</v>
      </c>
      <c r="F44" s="1078"/>
    </row>
    <row r="45" spans="1:6" ht="14.25" thickBot="1">
      <c r="A45" s="840" t="s">
        <v>441</v>
      </c>
      <c r="B45" s="844" t="s">
        <v>353</v>
      </c>
      <c r="C45" s="1066">
        <v>9.8000000000000004E-2</v>
      </c>
      <c r="D45" s="1066">
        <v>9.6000000000000002E-2</v>
      </c>
      <c r="E45" s="1066">
        <v>9.6000000000000002E-2</v>
      </c>
      <c r="F45" s="1078"/>
    </row>
    <row r="46" spans="1:6" ht="14.25" thickBot="1">
      <c r="A46" s="840" t="s">
        <v>441</v>
      </c>
      <c r="B46" s="844" t="s">
        <v>363</v>
      </c>
      <c r="C46" s="1066">
        <v>8.5999999999999993E-2</v>
      </c>
      <c r="D46" s="1066">
        <v>9.8000000000000004E-2</v>
      </c>
      <c r="E46" s="1066">
        <v>8.7999999999999995E-2</v>
      </c>
      <c r="F46" s="1078"/>
    </row>
    <row r="47" spans="1:6" ht="14.25" thickBot="1">
      <c r="A47" s="840" t="s">
        <v>441</v>
      </c>
      <c r="B47" s="844" t="s">
        <v>373</v>
      </c>
      <c r="C47" s="1066">
        <v>9.6000000000000002E-2</v>
      </c>
      <c r="D47" s="1079"/>
      <c r="E47" s="1066">
        <v>6.9000000000000006E-2</v>
      </c>
      <c r="F47" s="1078"/>
    </row>
    <row r="48" spans="1:6" ht="14.25" thickBot="1">
      <c r="A48" s="850" t="s">
        <v>441</v>
      </c>
      <c r="B48" s="845" t="s">
        <v>382</v>
      </c>
      <c r="C48" s="1068">
        <v>9.8000000000000004E-2</v>
      </c>
      <c r="D48" s="1076"/>
      <c r="E48" s="1068">
        <v>9.5000000000000001E-2</v>
      </c>
      <c r="F48" s="1077"/>
    </row>
    <row r="49" spans="1:6" ht="14.25" thickBot="1">
      <c r="A49" s="840" t="s">
        <v>136</v>
      </c>
      <c r="B49" s="841" t="s">
        <v>883</v>
      </c>
      <c r="C49" s="1064">
        <v>9.7000000000000003E-2</v>
      </c>
      <c r="D49" s="1064">
        <v>9.5000000000000001E-2</v>
      </c>
      <c r="E49" s="1064">
        <v>9.7000000000000003E-2</v>
      </c>
      <c r="F49" s="1065">
        <v>0.1</v>
      </c>
    </row>
    <row r="50" spans="1:6" ht="14.25" thickBot="1">
      <c r="A50" s="840" t="s">
        <v>136</v>
      </c>
      <c r="B50" s="834" t="s">
        <v>189</v>
      </c>
      <c r="C50" s="1066">
        <v>7.4999999999999997E-2</v>
      </c>
      <c r="D50" s="1066">
        <v>9.5000000000000001E-2</v>
      </c>
      <c r="E50" s="1066">
        <v>0.1</v>
      </c>
      <c r="F50" s="1067">
        <v>0.1</v>
      </c>
    </row>
    <row r="51" spans="1:6" ht="14.25" thickBot="1">
      <c r="A51" s="840" t="s">
        <v>136</v>
      </c>
      <c r="B51" s="834" t="s">
        <v>202</v>
      </c>
      <c r="C51" s="1066">
        <v>9.8000000000000004E-2</v>
      </c>
      <c r="D51" s="1066">
        <v>8.8999999999999996E-2</v>
      </c>
      <c r="E51" s="1066">
        <v>0.1</v>
      </c>
      <c r="F51" s="1067">
        <v>0.1</v>
      </c>
    </row>
    <row r="52" spans="1:6" ht="14.25" thickBot="1">
      <c r="A52" s="840" t="s">
        <v>136</v>
      </c>
      <c r="B52" s="834" t="s">
        <v>215</v>
      </c>
      <c r="C52" s="1066">
        <v>9.8000000000000004E-2</v>
      </c>
      <c r="D52" s="1066">
        <v>9.7000000000000003E-2</v>
      </c>
      <c r="E52" s="1066">
        <v>8.1000000000000003E-2</v>
      </c>
      <c r="F52" s="1067">
        <v>0.1</v>
      </c>
    </row>
    <row r="53" spans="1:6" ht="14.25" thickBot="1">
      <c r="A53" s="840" t="s">
        <v>136</v>
      </c>
      <c r="B53" s="834" t="s">
        <v>227</v>
      </c>
      <c r="C53" s="1066">
        <v>9.7000000000000003E-2</v>
      </c>
      <c r="D53" s="1066">
        <v>7.5999999999999998E-2</v>
      </c>
      <c r="E53" s="1066">
        <v>7.0999999999999994E-2</v>
      </c>
      <c r="F53" s="1067">
        <v>0.1</v>
      </c>
    </row>
    <row r="54" spans="1:6" ht="14.25" thickBot="1">
      <c r="A54" s="840" t="s">
        <v>136</v>
      </c>
      <c r="B54" s="834" t="s">
        <v>238</v>
      </c>
      <c r="C54" s="1066">
        <v>7.5999999999999998E-2</v>
      </c>
      <c r="D54" s="1066">
        <v>0.1</v>
      </c>
      <c r="E54" s="1066">
        <v>9.9000000000000005E-2</v>
      </c>
      <c r="F54" s="1067">
        <v>0.1</v>
      </c>
    </row>
    <row r="55" spans="1:6" ht="14.25" thickBot="1">
      <c r="A55" s="840" t="s">
        <v>136</v>
      </c>
      <c r="B55" s="834" t="s">
        <v>249</v>
      </c>
      <c r="C55" s="1066">
        <v>0.1</v>
      </c>
      <c r="D55" s="1066">
        <v>0.1</v>
      </c>
      <c r="E55" s="1066">
        <v>9.6000000000000002E-2</v>
      </c>
      <c r="F55" s="1067">
        <v>0.1</v>
      </c>
    </row>
    <row r="56" spans="1:6" ht="14.25" thickBot="1">
      <c r="A56" s="840" t="s">
        <v>136</v>
      </c>
      <c r="B56" s="834" t="s">
        <v>260</v>
      </c>
      <c r="C56" s="1066">
        <v>0.1</v>
      </c>
      <c r="D56" s="1066">
        <v>9.6000000000000002E-2</v>
      </c>
      <c r="E56" s="1066">
        <v>5.1999999999999998E-2</v>
      </c>
      <c r="F56" s="1067">
        <v>0.1</v>
      </c>
    </row>
    <row r="57" spans="1:6" ht="14.25" thickBot="1">
      <c r="A57" s="840" t="s">
        <v>136</v>
      </c>
      <c r="B57" s="834" t="s">
        <v>272</v>
      </c>
      <c r="C57" s="1066">
        <v>9.7000000000000003E-2</v>
      </c>
      <c r="D57" s="1066">
        <v>9.6000000000000002E-2</v>
      </c>
      <c r="E57" s="1066">
        <v>9.6000000000000002E-2</v>
      </c>
      <c r="F57" s="1067">
        <v>0.1</v>
      </c>
    </row>
    <row r="58" spans="1:6" ht="14.25" thickBot="1">
      <c r="A58" s="840" t="s">
        <v>136</v>
      </c>
      <c r="B58" s="834" t="s">
        <v>282</v>
      </c>
      <c r="C58" s="1066">
        <v>9.6000000000000002E-2</v>
      </c>
      <c r="D58" s="1066">
        <v>9.9000000000000005E-2</v>
      </c>
      <c r="E58" s="1066">
        <v>9.6000000000000002E-2</v>
      </c>
      <c r="F58" s="1067">
        <v>0.1</v>
      </c>
    </row>
    <row r="59" spans="1:6" ht="14.25" thickBot="1">
      <c r="A59" s="840" t="s">
        <v>136</v>
      </c>
      <c r="B59" s="834" t="s">
        <v>292</v>
      </c>
      <c r="C59" s="1066">
        <v>7.1999999999999995E-2</v>
      </c>
      <c r="D59" s="1066">
        <v>9.6000000000000002E-2</v>
      </c>
      <c r="E59" s="1066">
        <v>7.0999999999999994E-2</v>
      </c>
      <c r="F59" s="1067">
        <v>0.1</v>
      </c>
    </row>
    <row r="60" spans="1:6" ht="14.25" thickBot="1">
      <c r="A60" s="840" t="s">
        <v>136</v>
      </c>
      <c r="B60" s="834" t="s">
        <v>302</v>
      </c>
      <c r="C60" s="1066">
        <v>9.6000000000000002E-2</v>
      </c>
      <c r="D60" s="1066">
        <v>8.8999999999999996E-2</v>
      </c>
      <c r="E60" s="1066">
        <v>9.6000000000000002E-2</v>
      </c>
      <c r="F60" s="1067">
        <v>0.1</v>
      </c>
    </row>
    <row r="61" spans="1:6" ht="14.25" thickBot="1">
      <c r="A61" s="840" t="s">
        <v>136</v>
      </c>
      <c r="B61" s="834" t="s">
        <v>312</v>
      </c>
      <c r="C61" s="1066">
        <v>8.8999999999999996E-2</v>
      </c>
      <c r="D61" s="1066">
        <v>9.8000000000000004E-2</v>
      </c>
      <c r="E61" s="1066">
        <v>8.7999999999999995E-2</v>
      </c>
      <c r="F61" s="1078"/>
    </row>
    <row r="62" spans="1:6" ht="14.25" thickBot="1">
      <c r="A62" s="840" t="s">
        <v>136</v>
      </c>
      <c r="B62" s="834" t="s">
        <v>323</v>
      </c>
      <c r="C62" s="1066">
        <v>9.8000000000000004E-2</v>
      </c>
      <c r="D62" s="1066">
        <v>9.2999999999999999E-2</v>
      </c>
      <c r="E62" s="1066">
        <v>9.7000000000000003E-2</v>
      </c>
      <c r="F62" s="1078"/>
    </row>
    <row r="63" spans="1:6" ht="14.25" thickBot="1">
      <c r="A63" s="840" t="s">
        <v>136</v>
      </c>
      <c r="B63" s="834" t="s">
        <v>334</v>
      </c>
      <c r="C63" s="1066">
        <v>9.6000000000000002E-2</v>
      </c>
      <c r="D63" s="1066">
        <v>9.8000000000000004E-2</v>
      </c>
      <c r="E63" s="1066">
        <v>0.09</v>
      </c>
      <c r="F63" s="1078"/>
    </row>
    <row r="64" spans="1:6" ht="14.25" thickBot="1">
      <c r="A64" s="840" t="s">
        <v>136</v>
      </c>
      <c r="B64" s="834" t="s">
        <v>344</v>
      </c>
      <c r="C64" s="1066">
        <v>9.9000000000000005E-2</v>
      </c>
      <c r="D64" s="1066">
        <v>9.7000000000000003E-2</v>
      </c>
      <c r="E64" s="1066">
        <v>9.9000000000000005E-2</v>
      </c>
      <c r="F64" s="1078"/>
    </row>
    <row r="65" spans="1:6" ht="14.25" thickBot="1">
      <c r="A65" s="840" t="s">
        <v>136</v>
      </c>
      <c r="B65" s="834" t="s">
        <v>354</v>
      </c>
      <c r="C65" s="1066">
        <v>9.8000000000000004E-2</v>
      </c>
      <c r="D65" s="1066">
        <v>9.6000000000000002E-2</v>
      </c>
      <c r="E65" s="1066">
        <v>9.6000000000000002E-2</v>
      </c>
      <c r="F65" s="1078"/>
    </row>
    <row r="66" spans="1:6" ht="14.25" thickBot="1">
      <c r="A66" s="840" t="s">
        <v>136</v>
      </c>
      <c r="B66" s="834" t="s">
        <v>364</v>
      </c>
      <c r="C66" s="1066">
        <v>9.6000000000000002E-2</v>
      </c>
      <c r="D66" s="1066">
        <v>9.1999999999999998E-2</v>
      </c>
      <c r="E66" s="1066">
        <v>9.6000000000000002E-2</v>
      </c>
      <c r="F66" s="1078"/>
    </row>
    <row r="67" spans="1:6" ht="14.25" thickBot="1">
      <c r="A67" s="840" t="s">
        <v>136</v>
      </c>
      <c r="B67" s="834" t="s">
        <v>374</v>
      </c>
      <c r="C67" s="1066">
        <v>9.4E-2</v>
      </c>
      <c r="D67" s="1066">
        <v>0.1</v>
      </c>
      <c r="E67" s="1066">
        <v>8.7999999999999995E-2</v>
      </c>
      <c r="F67" s="1078"/>
    </row>
    <row r="68" spans="1:6" ht="14.25" thickBot="1">
      <c r="A68" s="840" t="s">
        <v>136</v>
      </c>
      <c r="B68" s="834" t="s">
        <v>383</v>
      </c>
      <c r="C68" s="1066">
        <v>0.1</v>
      </c>
      <c r="D68" s="1066">
        <v>8.7999999999999995E-2</v>
      </c>
      <c r="E68" s="1066">
        <v>9.7000000000000003E-2</v>
      </c>
      <c r="F68" s="1078"/>
    </row>
    <row r="69" spans="1:6" ht="14.25" thickBot="1">
      <c r="A69" s="840" t="s">
        <v>136</v>
      </c>
      <c r="B69" s="834" t="s">
        <v>392</v>
      </c>
      <c r="C69" s="1066">
        <v>6.4000000000000001E-2</v>
      </c>
      <c r="D69" s="1066">
        <v>0.1</v>
      </c>
      <c r="E69" s="1066">
        <v>0.1</v>
      </c>
      <c r="F69" s="1078"/>
    </row>
    <row r="70" spans="1:6" ht="14.25" thickBot="1">
      <c r="A70" s="840" t="s">
        <v>136</v>
      </c>
      <c r="B70" s="834" t="s">
        <v>400</v>
      </c>
      <c r="C70" s="1066">
        <v>9.0999999999999998E-2</v>
      </c>
      <c r="D70" s="1079"/>
      <c r="E70" s="1079"/>
      <c r="F70" s="1078"/>
    </row>
    <row r="71" spans="1:6" ht="14.25" thickBot="1">
      <c r="A71" s="840" t="s">
        <v>136</v>
      </c>
      <c r="B71" s="834" t="s">
        <v>407</v>
      </c>
      <c r="C71" s="1066">
        <v>0.1</v>
      </c>
      <c r="D71" s="1079"/>
      <c r="E71" s="1079"/>
      <c r="F71" s="1078"/>
    </row>
    <row r="72" spans="1:6" ht="14.25" thickBot="1">
      <c r="A72" s="840" t="s">
        <v>136</v>
      </c>
      <c r="B72" s="834" t="s">
        <v>884</v>
      </c>
      <c r="C72" s="1079"/>
      <c r="D72" s="1079"/>
      <c r="E72" s="1079"/>
      <c r="F72" s="1067">
        <v>0.05</v>
      </c>
    </row>
    <row r="73" spans="1:6" ht="14.25" thickBot="1">
      <c r="A73" s="840" t="s">
        <v>136</v>
      </c>
      <c r="B73" s="834" t="s">
        <v>885</v>
      </c>
      <c r="C73" s="1079"/>
      <c r="D73" s="1079"/>
      <c r="E73" s="1079"/>
      <c r="F73" s="1067">
        <v>0.05</v>
      </c>
    </row>
    <row r="74" spans="1:6" ht="14.25" thickBot="1">
      <c r="A74" s="840" t="s">
        <v>136</v>
      </c>
      <c r="B74" s="834" t="s">
        <v>886</v>
      </c>
      <c r="C74" s="1079"/>
      <c r="D74" s="1079"/>
      <c r="E74" s="1079"/>
      <c r="F74" s="1067">
        <v>0.05</v>
      </c>
    </row>
    <row r="75" spans="1:6" ht="14.25" thickBot="1">
      <c r="A75" s="850" t="s">
        <v>136</v>
      </c>
      <c r="B75" s="846" t="s">
        <v>887</v>
      </c>
      <c r="C75" s="1076"/>
      <c r="D75" s="1076"/>
      <c r="E75" s="1076"/>
      <c r="F75" s="1069">
        <v>0.05</v>
      </c>
    </row>
    <row r="76" spans="1:6" ht="14.25" thickBot="1">
      <c r="A76" s="840" t="s">
        <v>522</v>
      </c>
      <c r="B76" s="841" t="s">
        <v>888</v>
      </c>
      <c r="C76" s="1064">
        <v>0.1</v>
      </c>
      <c r="D76" s="1064">
        <v>0.1</v>
      </c>
      <c r="E76" s="1064">
        <v>0.1</v>
      </c>
      <c r="F76" s="1065">
        <v>0.1</v>
      </c>
    </row>
    <row r="77" spans="1:6" ht="14.25" thickBot="1">
      <c r="A77" s="840" t="s">
        <v>522</v>
      </c>
      <c r="B77" s="834" t="s">
        <v>190</v>
      </c>
      <c r="C77" s="1066">
        <v>8.7999999999999995E-2</v>
      </c>
      <c r="D77" s="1066">
        <v>8.6999999999999994E-2</v>
      </c>
      <c r="E77" s="1066">
        <v>7.9000000000000001E-2</v>
      </c>
      <c r="F77" s="1067">
        <v>0.1</v>
      </c>
    </row>
    <row r="78" spans="1:6" ht="14.25" thickBot="1">
      <c r="A78" s="840" t="s">
        <v>522</v>
      </c>
      <c r="B78" s="834" t="s">
        <v>203</v>
      </c>
      <c r="C78" s="1066">
        <v>8.6999999999999994E-2</v>
      </c>
      <c r="D78" s="1066">
        <v>8.4000000000000005E-2</v>
      </c>
      <c r="E78" s="1066">
        <v>9.6000000000000002E-2</v>
      </c>
      <c r="F78" s="1067">
        <v>0.1</v>
      </c>
    </row>
    <row r="79" spans="1:6" ht="14.25" thickBot="1">
      <c r="A79" s="840" t="s">
        <v>522</v>
      </c>
      <c r="B79" s="834" t="s">
        <v>216</v>
      </c>
      <c r="C79" s="1066">
        <v>9.8000000000000004E-2</v>
      </c>
      <c r="D79" s="1066">
        <v>9.8000000000000004E-2</v>
      </c>
      <c r="E79" s="1066">
        <v>9.0999999999999998E-2</v>
      </c>
      <c r="F79" s="1067">
        <v>0.1</v>
      </c>
    </row>
    <row r="80" spans="1:6" ht="14.25" thickBot="1">
      <c r="A80" s="840" t="s">
        <v>522</v>
      </c>
      <c r="B80" s="834" t="s">
        <v>228</v>
      </c>
      <c r="C80" s="1066">
        <v>9.6000000000000002E-2</v>
      </c>
      <c r="D80" s="1066">
        <v>9.6000000000000002E-2</v>
      </c>
      <c r="E80" s="1066">
        <v>0.1</v>
      </c>
      <c r="F80" s="1067">
        <v>0.1</v>
      </c>
    </row>
    <row r="81" spans="1:6" ht="14.25" thickBot="1">
      <c r="A81" s="840" t="s">
        <v>522</v>
      </c>
      <c r="B81" s="834" t="s">
        <v>239</v>
      </c>
      <c r="C81" s="1066">
        <v>9.9000000000000005E-2</v>
      </c>
      <c r="D81" s="1066">
        <v>9.9000000000000005E-2</v>
      </c>
      <c r="E81" s="1066">
        <v>9.8000000000000004E-2</v>
      </c>
      <c r="F81" s="1067">
        <v>0.1</v>
      </c>
    </row>
    <row r="82" spans="1:6" ht="14.25" thickBot="1">
      <c r="A82" s="840" t="s">
        <v>522</v>
      </c>
      <c r="B82" s="834" t="s">
        <v>250</v>
      </c>
      <c r="C82" s="1066">
        <v>9.9000000000000005E-2</v>
      </c>
      <c r="D82" s="1066">
        <v>9.9000000000000005E-2</v>
      </c>
      <c r="E82" s="1066">
        <v>9.7000000000000003E-2</v>
      </c>
      <c r="F82" s="1067">
        <v>0.1</v>
      </c>
    </row>
    <row r="83" spans="1:6" ht="14.25" thickBot="1">
      <c r="A83" s="840" t="s">
        <v>522</v>
      </c>
      <c r="B83" s="834" t="s">
        <v>261</v>
      </c>
      <c r="C83" s="1066">
        <v>9.8000000000000004E-2</v>
      </c>
      <c r="D83" s="1066">
        <v>9.8000000000000004E-2</v>
      </c>
      <c r="E83" s="1066">
        <v>9.8000000000000004E-2</v>
      </c>
      <c r="F83" s="1067">
        <v>0.1</v>
      </c>
    </row>
    <row r="84" spans="1:6" ht="14.25" thickBot="1">
      <c r="A84" s="840" t="s">
        <v>522</v>
      </c>
      <c r="B84" s="834" t="s">
        <v>273</v>
      </c>
      <c r="C84" s="1066">
        <v>9.9000000000000005E-2</v>
      </c>
      <c r="D84" s="1066">
        <v>9.9000000000000005E-2</v>
      </c>
      <c r="E84" s="1066">
        <v>9.9000000000000005E-2</v>
      </c>
      <c r="F84" s="1067">
        <v>0.1</v>
      </c>
    </row>
    <row r="85" spans="1:6" ht="14.25" thickBot="1">
      <c r="A85" s="840" t="s">
        <v>522</v>
      </c>
      <c r="B85" s="834" t="s">
        <v>283</v>
      </c>
      <c r="C85" s="1066">
        <v>9.9000000000000005E-2</v>
      </c>
      <c r="D85" s="1066">
        <v>9.9000000000000005E-2</v>
      </c>
      <c r="E85" s="1066">
        <v>9.9000000000000005E-2</v>
      </c>
      <c r="F85" s="1067">
        <v>0.1</v>
      </c>
    </row>
    <row r="86" spans="1:6" ht="14.25" thickBot="1">
      <c r="A86" s="840" t="s">
        <v>522</v>
      </c>
      <c r="B86" s="834" t="s">
        <v>293</v>
      </c>
      <c r="C86" s="1066">
        <v>0.1</v>
      </c>
      <c r="D86" s="1066">
        <v>0.1</v>
      </c>
      <c r="E86" s="1066">
        <v>7.6999999999999999E-2</v>
      </c>
      <c r="F86" s="1067">
        <v>0.1</v>
      </c>
    </row>
    <row r="87" spans="1:6" ht="14.25" thickBot="1">
      <c r="A87" s="840" t="s">
        <v>522</v>
      </c>
      <c r="B87" s="834" t="s">
        <v>303</v>
      </c>
      <c r="C87" s="1066">
        <v>0.1</v>
      </c>
      <c r="D87" s="1066">
        <v>0.1</v>
      </c>
      <c r="E87" s="1066">
        <v>9.8000000000000004E-2</v>
      </c>
      <c r="F87" s="1078"/>
    </row>
    <row r="88" spans="1:6" ht="14.25" thickBot="1">
      <c r="A88" s="840" t="s">
        <v>522</v>
      </c>
      <c r="B88" s="834" t="s">
        <v>313</v>
      </c>
      <c r="C88" s="1066">
        <v>9.1999999999999998E-2</v>
      </c>
      <c r="D88" s="1066">
        <v>8.5000000000000006E-2</v>
      </c>
      <c r="E88" s="1066">
        <v>9.6000000000000002E-2</v>
      </c>
      <c r="F88" s="1078"/>
    </row>
    <row r="89" spans="1:6" ht="14.25" thickBot="1">
      <c r="A89" s="840" t="s">
        <v>522</v>
      </c>
      <c r="B89" s="834" t="s">
        <v>324</v>
      </c>
      <c r="C89" s="1066">
        <v>0.1</v>
      </c>
      <c r="D89" s="1066">
        <v>0.1</v>
      </c>
      <c r="E89" s="1066">
        <v>9.7000000000000003E-2</v>
      </c>
      <c r="F89" s="1078"/>
    </row>
    <row r="90" spans="1:6" ht="14.25" thickBot="1">
      <c r="A90" s="840" t="s">
        <v>522</v>
      </c>
      <c r="B90" s="834" t="s">
        <v>335</v>
      </c>
      <c r="C90" s="1066">
        <v>9.8000000000000004E-2</v>
      </c>
      <c r="D90" s="1066">
        <v>9.8000000000000004E-2</v>
      </c>
      <c r="E90" s="1066">
        <v>8.7999999999999995E-2</v>
      </c>
      <c r="F90" s="1078"/>
    </row>
    <row r="91" spans="1:6" ht="14.25" thickBot="1">
      <c r="A91" s="840" t="s">
        <v>522</v>
      </c>
      <c r="B91" s="834" t="s">
        <v>345</v>
      </c>
      <c r="C91" s="1066">
        <v>9.9000000000000005E-2</v>
      </c>
      <c r="D91" s="1066">
        <v>9.9000000000000005E-2</v>
      </c>
      <c r="E91" s="1066">
        <v>9.0999999999999998E-2</v>
      </c>
      <c r="F91" s="1078"/>
    </row>
    <row r="92" spans="1:6" ht="14.25" thickBot="1">
      <c r="A92" s="840" t="s">
        <v>522</v>
      </c>
      <c r="B92" s="834" t="s">
        <v>355</v>
      </c>
      <c r="C92" s="1066">
        <v>9.6000000000000002E-2</v>
      </c>
      <c r="D92" s="1066">
        <v>9.6000000000000002E-2</v>
      </c>
      <c r="E92" s="1066">
        <v>7.2999999999999995E-2</v>
      </c>
      <c r="F92" s="1078"/>
    </row>
    <row r="93" spans="1:6" ht="14.25" thickBot="1">
      <c r="A93" s="840" t="s">
        <v>522</v>
      </c>
      <c r="B93" s="834" t="s">
        <v>365</v>
      </c>
      <c r="C93" s="1066">
        <v>9.6000000000000002E-2</v>
      </c>
      <c r="D93" s="1066">
        <v>9.6000000000000002E-2</v>
      </c>
      <c r="E93" s="1066">
        <v>9.9000000000000005E-2</v>
      </c>
      <c r="F93" s="1078"/>
    </row>
    <row r="94" spans="1:6" ht="14.25" thickBot="1">
      <c r="A94" s="840" t="s">
        <v>522</v>
      </c>
      <c r="B94" s="834" t="s">
        <v>375</v>
      </c>
      <c r="C94" s="1066">
        <v>7.5999999999999998E-2</v>
      </c>
      <c r="D94" s="1066">
        <v>7.3999999999999996E-2</v>
      </c>
      <c r="E94" s="1066">
        <v>9.7000000000000003E-2</v>
      </c>
      <c r="F94" s="1078"/>
    </row>
    <row r="95" spans="1:6" ht="14.25" thickBot="1">
      <c r="A95" s="840" t="s">
        <v>522</v>
      </c>
      <c r="B95" s="834" t="s">
        <v>384</v>
      </c>
      <c r="C95" s="1066">
        <v>9.9000000000000005E-2</v>
      </c>
      <c r="D95" s="1066">
        <v>9.4E-2</v>
      </c>
      <c r="E95" s="1066">
        <v>9.6000000000000002E-2</v>
      </c>
      <c r="F95" s="1078"/>
    </row>
    <row r="96" spans="1:6" ht="14.25" thickBot="1">
      <c r="A96" s="840" t="s">
        <v>522</v>
      </c>
      <c r="B96" s="834" t="s">
        <v>393</v>
      </c>
      <c r="C96" s="1066">
        <v>9.9000000000000005E-2</v>
      </c>
      <c r="D96" s="1066">
        <v>9.9000000000000005E-2</v>
      </c>
      <c r="E96" s="1066">
        <v>9.9000000000000005E-2</v>
      </c>
      <c r="F96" s="1078"/>
    </row>
    <row r="97" spans="1:6" ht="14.25" thickBot="1">
      <c r="A97" s="840" t="s">
        <v>522</v>
      </c>
      <c r="B97" s="834" t="s">
        <v>401</v>
      </c>
      <c r="C97" s="1066">
        <v>9.8000000000000004E-2</v>
      </c>
      <c r="D97" s="1066">
        <v>9.8000000000000004E-2</v>
      </c>
      <c r="E97" s="1066">
        <v>9.7000000000000003E-2</v>
      </c>
      <c r="F97" s="1078"/>
    </row>
    <row r="98" spans="1:6" ht="14.25" thickBot="1">
      <c r="A98" s="840" t="s">
        <v>522</v>
      </c>
      <c r="B98" s="834" t="s">
        <v>408</v>
      </c>
      <c r="C98" s="1066">
        <v>0.1</v>
      </c>
      <c r="D98" s="1066">
        <v>0.1</v>
      </c>
      <c r="E98" s="1066">
        <v>9.7000000000000003E-2</v>
      </c>
      <c r="F98" s="1078"/>
    </row>
    <row r="99" spans="1:6" ht="14.25" thickBot="1">
      <c r="A99" s="840" t="s">
        <v>522</v>
      </c>
      <c r="B99" s="834" t="s">
        <v>415</v>
      </c>
      <c r="C99" s="1066">
        <v>0.1</v>
      </c>
      <c r="D99" s="1066">
        <v>0.1</v>
      </c>
      <c r="E99" s="1079"/>
      <c r="F99" s="1078"/>
    </row>
    <row r="100" spans="1:6" ht="14.25" thickBot="1">
      <c r="A100" s="840" t="s">
        <v>522</v>
      </c>
      <c r="B100" s="834" t="s">
        <v>422</v>
      </c>
      <c r="C100" s="1066">
        <v>0.09</v>
      </c>
      <c r="D100" s="1066">
        <v>8.8999999999999996E-2</v>
      </c>
      <c r="E100" s="1079"/>
      <c r="F100" s="1078"/>
    </row>
    <row r="101" spans="1:6" ht="14.25" thickBot="1">
      <c r="A101" s="840" t="s">
        <v>522</v>
      </c>
      <c r="B101" s="834" t="s">
        <v>429</v>
      </c>
      <c r="C101" s="1066">
        <v>9.8000000000000004E-2</v>
      </c>
      <c r="D101" s="1066">
        <v>9.7000000000000003E-2</v>
      </c>
      <c r="E101" s="1079"/>
      <c r="F101" s="1078"/>
    </row>
    <row r="102" spans="1:6" ht="14.25" thickBot="1">
      <c r="A102" s="840" t="s">
        <v>522</v>
      </c>
      <c r="B102" s="834" t="s">
        <v>889</v>
      </c>
      <c r="C102" s="1079"/>
      <c r="D102" s="1079"/>
      <c r="E102" s="1079"/>
      <c r="F102" s="1067">
        <v>0.05</v>
      </c>
    </row>
    <row r="103" spans="1:6" ht="24.75" thickBot="1">
      <c r="A103" s="840" t="s">
        <v>522</v>
      </c>
      <c r="B103" s="834" t="s">
        <v>890</v>
      </c>
      <c r="C103" s="1079"/>
      <c r="D103" s="1079"/>
      <c r="E103" s="1079"/>
      <c r="F103" s="1067">
        <v>0.05</v>
      </c>
    </row>
    <row r="104" spans="1:6" ht="14.25" thickBot="1">
      <c r="A104" s="840" t="s">
        <v>522</v>
      </c>
      <c r="B104" s="834" t="s">
        <v>891</v>
      </c>
      <c r="C104" s="1079"/>
      <c r="D104" s="1079"/>
      <c r="E104" s="1079"/>
      <c r="F104" s="1067">
        <v>0.05</v>
      </c>
    </row>
    <row r="105" spans="1:6" ht="14.25" thickBot="1">
      <c r="A105" s="840" t="s">
        <v>522</v>
      </c>
      <c r="B105" s="834" t="s">
        <v>892</v>
      </c>
      <c r="C105" s="1079"/>
      <c r="D105" s="1079"/>
      <c r="E105" s="1079"/>
      <c r="F105" s="1067">
        <v>0.05</v>
      </c>
    </row>
    <row r="106" spans="1:6" ht="14.25" thickBot="1">
      <c r="A106" s="840" t="s">
        <v>522</v>
      </c>
      <c r="B106" s="834" t="s">
        <v>893</v>
      </c>
      <c r="C106" s="1079"/>
      <c r="D106" s="1079"/>
      <c r="E106" s="1079"/>
      <c r="F106" s="1067">
        <v>0.05</v>
      </c>
    </row>
    <row r="107" spans="1:6" ht="24.75" thickBot="1">
      <c r="A107" s="840" t="s">
        <v>522</v>
      </c>
      <c r="B107" s="834" t="s">
        <v>894</v>
      </c>
      <c r="C107" s="1079"/>
      <c r="D107" s="1079"/>
      <c r="E107" s="1079"/>
      <c r="F107" s="1067">
        <v>0.05</v>
      </c>
    </row>
    <row r="108" spans="1:6" ht="24.75" thickBot="1">
      <c r="A108" s="840" t="s">
        <v>522</v>
      </c>
      <c r="B108" s="834" t="s">
        <v>895</v>
      </c>
      <c r="C108" s="1079"/>
      <c r="D108" s="1079"/>
      <c r="E108" s="1079"/>
      <c r="F108" s="1067">
        <v>0.05</v>
      </c>
    </row>
    <row r="109" spans="1:6" ht="24.75" thickBot="1">
      <c r="A109" s="850" t="s">
        <v>522</v>
      </c>
      <c r="B109" s="846" t="s">
        <v>896</v>
      </c>
      <c r="C109" s="1076"/>
      <c r="D109" s="1076"/>
      <c r="E109" s="1076"/>
      <c r="F109" s="1069">
        <v>0.05</v>
      </c>
    </row>
    <row r="110" spans="1:6" ht="14.25" thickBot="1">
      <c r="A110" s="840" t="s">
        <v>55</v>
      </c>
      <c r="B110" s="841" t="s">
        <v>897</v>
      </c>
      <c r="C110" s="1064">
        <v>0.129</v>
      </c>
      <c r="D110" s="1064">
        <v>0.129</v>
      </c>
      <c r="E110" s="1064">
        <v>0.126</v>
      </c>
      <c r="F110" s="1065">
        <v>0.13</v>
      </c>
    </row>
    <row r="111" spans="1:6" ht="14.25" thickBot="1">
      <c r="A111" s="840" t="s">
        <v>55</v>
      </c>
      <c r="B111" s="834" t="s">
        <v>191</v>
      </c>
      <c r="C111" s="1066">
        <v>0.11</v>
      </c>
      <c r="D111" s="1066">
        <v>0.11</v>
      </c>
      <c r="E111" s="1066">
        <v>9.9000000000000005E-2</v>
      </c>
      <c r="F111" s="1067">
        <v>0.128</v>
      </c>
    </row>
    <row r="112" spans="1:6" ht="14.25" thickBot="1">
      <c r="A112" s="840" t="s">
        <v>55</v>
      </c>
      <c r="B112" s="834" t="s">
        <v>204</v>
      </c>
      <c r="C112" s="1066">
        <v>0.125</v>
      </c>
      <c r="D112" s="1066">
        <v>0.125</v>
      </c>
      <c r="E112" s="1066">
        <v>0.12</v>
      </c>
      <c r="F112" s="1067">
        <v>0.125</v>
      </c>
    </row>
    <row r="113" spans="1:6" ht="14.25" thickBot="1">
      <c r="A113" s="840" t="s">
        <v>55</v>
      </c>
      <c r="B113" s="834" t="s">
        <v>217</v>
      </c>
      <c r="C113" s="1066">
        <v>0.13</v>
      </c>
      <c r="D113" s="1066">
        <v>0.13</v>
      </c>
      <c r="E113" s="1066">
        <v>0.13</v>
      </c>
      <c r="F113" s="1067">
        <v>0.13</v>
      </c>
    </row>
    <row r="114" spans="1:6" ht="14.25" thickBot="1">
      <c r="A114" s="840" t="s">
        <v>55</v>
      </c>
      <c r="B114" s="834" t="s">
        <v>229</v>
      </c>
      <c r="C114" s="1066">
        <v>0.123</v>
      </c>
      <c r="D114" s="1066">
        <v>0.123</v>
      </c>
      <c r="E114" s="1066">
        <v>0.12</v>
      </c>
      <c r="F114" s="1067">
        <v>0.13</v>
      </c>
    </row>
    <row r="115" spans="1:6" ht="14.25" thickBot="1">
      <c r="A115" s="840" t="s">
        <v>55</v>
      </c>
      <c r="B115" s="834" t="s">
        <v>240</v>
      </c>
      <c r="C115" s="1066">
        <v>0.125</v>
      </c>
      <c r="D115" s="1066">
        <v>0.125</v>
      </c>
      <c r="E115" s="1066">
        <v>0.11700000000000001</v>
      </c>
      <c r="F115" s="1067">
        <v>0.13</v>
      </c>
    </row>
    <row r="116" spans="1:6" ht="14.25" thickBot="1">
      <c r="A116" s="840" t="s">
        <v>55</v>
      </c>
      <c r="B116" s="834" t="s">
        <v>251</v>
      </c>
      <c r="C116" s="1066">
        <v>0.11700000000000001</v>
      </c>
      <c r="D116" s="1066">
        <v>0.11700000000000001</v>
      </c>
      <c r="E116" s="1066">
        <v>8.7999999999999995E-2</v>
      </c>
      <c r="F116" s="1067">
        <v>0.13</v>
      </c>
    </row>
    <row r="117" spans="1:6" ht="14.25" thickBot="1">
      <c r="A117" s="840" t="s">
        <v>55</v>
      </c>
      <c r="B117" s="834" t="s">
        <v>262</v>
      </c>
      <c r="C117" s="1066">
        <v>0.13</v>
      </c>
      <c r="D117" s="1066">
        <v>0.13</v>
      </c>
      <c r="E117" s="1066">
        <v>0.129</v>
      </c>
      <c r="F117" s="1067">
        <v>0.13</v>
      </c>
    </row>
    <row r="118" spans="1:6" ht="14.25" thickBot="1">
      <c r="A118" s="840" t="s">
        <v>55</v>
      </c>
      <c r="B118" s="834" t="s">
        <v>274</v>
      </c>
      <c r="C118" s="1066">
        <v>0.123</v>
      </c>
      <c r="D118" s="1066">
        <v>0.123</v>
      </c>
      <c r="E118" s="1066">
        <v>0.11600000000000001</v>
      </c>
      <c r="F118" s="1067">
        <v>0.13</v>
      </c>
    </row>
    <row r="119" spans="1:6" ht="14.25" thickBot="1">
      <c r="A119" s="840" t="s">
        <v>55</v>
      </c>
      <c r="B119" s="834" t="s">
        <v>284</v>
      </c>
      <c r="C119" s="1066">
        <v>0.127</v>
      </c>
      <c r="D119" s="1066">
        <v>0.127</v>
      </c>
      <c r="E119" s="1066">
        <v>0.124</v>
      </c>
      <c r="F119" s="1067">
        <v>0.13</v>
      </c>
    </row>
    <row r="120" spans="1:6" ht="14.25" thickBot="1">
      <c r="A120" s="840" t="s">
        <v>55</v>
      </c>
      <c r="B120" s="834" t="s">
        <v>294</v>
      </c>
      <c r="C120" s="1066">
        <v>0.125</v>
      </c>
      <c r="D120" s="1066">
        <v>0.125</v>
      </c>
      <c r="E120" s="1066">
        <v>0.122</v>
      </c>
      <c r="F120" s="1067">
        <v>0.13</v>
      </c>
    </row>
    <row r="121" spans="1:6" ht="14.25" thickBot="1">
      <c r="A121" s="840" t="s">
        <v>55</v>
      </c>
      <c r="B121" s="834" t="s">
        <v>304</v>
      </c>
      <c r="C121" s="1066">
        <v>0.13</v>
      </c>
      <c r="D121" s="1066">
        <v>0.13</v>
      </c>
      <c r="E121" s="1066">
        <v>0.13</v>
      </c>
      <c r="F121" s="1067">
        <v>0.13</v>
      </c>
    </row>
    <row r="122" spans="1:6" ht="14.25" thickBot="1">
      <c r="A122" s="840" t="s">
        <v>55</v>
      </c>
      <c r="B122" s="834" t="s">
        <v>314</v>
      </c>
      <c r="C122" s="1066">
        <v>0.13</v>
      </c>
      <c r="D122" s="1066">
        <v>0.13</v>
      </c>
      <c r="E122" s="1066">
        <v>0.125</v>
      </c>
      <c r="F122" s="1067">
        <v>0.13</v>
      </c>
    </row>
    <row r="123" spans="1:6" ht="14.25" thickBot="1">
      <c r="A123" s="840" t="s">
        <v>55</v>
      </c>
      <c r="B123" s="834" t="s">
        <v>325</v>
      </c>
      <c r="C123" s="1066">
        <v>0.129</v>
      </c>
      <c r="D123" s="1066">
        <v>0.129</v>
      </c>
      <c r="E123" s="1066">
        <v>0.123</v>
      </c>
      <c r="F123" s="1067">
        <v>0.13</v>
      </c>
    </row>
    <row r="124" spans="1:6" ht="14.25" thickBot="1">
      <c r="A124" s="840" t="s">
        <v>55</v>
      </c>
      <c r="B124" s="834" t="s">
        <v>336</v>
      </c>
      <c r="C124" s="1066">
        <v>0.10199999999999999</v>
      </c>
      <c r="D124" s="1066">
        <v>0.10100000000000001</v>
      </c>
      <c r="E124" s="1066">
        <v>0.08</v>
      </c>
      <c r="F124" s="1078"/>
    </row>
    <row r="125" spans="1:6" ht="14.25" thickBot="1">
      <c r="A125" s="840" t="s">
        <v>55</v>
      </c>
      <c r="B125" s="834" t="s">
        <v>346</v>
      </c>
      <c r="C125" s="1066">
        <v>0.13</v>
      </c>
      <c r="D125" s="1066">
        <v>0.13</v>
      </c>
      <c r="E125" s="1066">
        <v>0.129</v>
      </c>
      <c r="F125" s="1078"/>
    </row>
    <row r="126" spans="1:6" ht="14.25" thickBot="1">
      <c r="A126" s="840" t="s">
        <v>55</v>
      </c>
      <c r="B126" s="834" t="s">
        <v>356</v>
      </c>
      <c r="C126" s="1066">
        <v>0.13</v>
      </c>
      <c r="D126" s="1066">
        <v>0.13</v>
      </c>
      <c r="E126" s="1066">
        <v>0.126</v>
      </c>
      <c r="F126" s="1078"/>
    </row>
    <row r="127" spans="1:6" ht="14.25" thickBot="1">
      <c r="A127" s="840" t="s">
        <v>55</v>
      </c>
      <c r="B127" s="834" t="s">
        <v>366</v>
      </c>
      <c r="C127" s="1066">
        <v>0.125</v>
      </c>
      <c r="D127" s="1066">
        <v>0.125</v>
      </c>
      <c r="E127" s="1066">
        <v>0.121</v>
      </c>
      <c r="F127" s="1078"/>
    </row>
    <row r="128" spans="1:6" ht="14.25" thickBot="1">
      <c r="A128" s="840" t="s">
        <v>55</v>
      </c>
      <c r="B128" s="834" t="s">
        <v>376</v>
      </c>
      <c r="C128" s="1066">
        <v>0.12</v>
      </c>
      <c r="D128" s="1066">
        <v>0.12</v>
      </c>
      <c r="E128" s="1066">
        <v>0.105</v>
      </c>
      <c r="F128" s="1078"/>
    </row>
    <row r="129" spans="1:6" ht="14.25" thickBot="1">
      <c r="A129" s="840" t="s">
        <v>55</v>
      </c>
      <c r="B129" s="834" t="s">
        <v>385</v>
      </c>
      <c r="C129" s="1066">
        <v>0.13</v>
      </c>
      <c r="D129" s="1066">
        <v>0.13</v>
      </c>
      <c r="E129" s="1066">
        <v>0.126</v>
      </c>
      <c r="F129" s="1078"/>
    </row>
    <row r="130" spans="1:6" ht="14.25" thickBot="1">
      <c r="A130" s="840" t="s">
        <v>55</v>
      </c>
      <c r="B130" s="834" t="s">
        <v>394</v>
      </c>
      <c r="C130" s="1066">
        <v>0.125</v>
      </c>
      <c r="D130" s="1066">
        <v>0.125</v>
      </c>
      <c r="E130" s="1066">
        <v>0.122</v>
      </c>
      <c r="F130" s="1078"/>
    </row>
    <row r="131" spans="1:6" ht="14.25" thickBot="1">
      <c r="A131" s="840" t="s">
        <v>55</v>
      </c>
      <c r="B131" s="834" t="s">
        <v>402</v>
      </c>
      <c r="C131" s="1066">
        <v>0.127</v>
      </c>
      <c r="D131" s="1066">
        <v>0.126</v>
      </c>
      <c r="E131" s="1066">
        <v>0.123</v>
      </c>
      <c r="F131" s="1078"/>
    </row>
    <row r="132" spans="1:6" ht="14.25" thickBot="1">
      <c r="A132" s="840" t="s">
        <v>55</v>
      </c>
      <c r="B132" s="834" t="s">
        <v>409</v>
      </c>
      <c r="C132" s="1066">
        <v>9.0999999999999998E-2</v>
      </c>
      <c r="D132" s="1066">
        <v>0.121</v>
      </c>
      <c r="E132" s="1066">
        <v>9.9000000000000005E-2</v>
      </c>
      <c r="F132" s="1078"/>
    </row>
    <row r="133" spans="1:6" ht="14.25" thickBot="1">
      <c r="A133" s="840" t="s">
        <v>55</v>
      </c>
      <c r="B133" s="834" t="s">
        <v>416</v>
      </c>
      <c r="C133" s="1066">
        <v>0.13</v>
      </c>
      <c r="D133" s="1066">
        <v>0.13</v>
      </c>
      <c r="E133" s="1066">
        <v>0.129</v>
      </c>
      <c r="F133" s="1078"/>
    </row>
    <row r="134" spans="1:6" ht="14.25" thickBot="1">
      <c r="A134" s="840" t="s">
        <v>55</v>
      </c>
      <c r="B134" s="834" t="s">
        <v>898</v>
      </c>
      <c r="C134" s="1066">
        <v>6.8000000000000005E-2</v>
      </c>
      <c r="D134" s="1066">
        <v>6.5000000000000002E-2</v>
      </c>
      <c r="E134" s="1066">
        <v>6.5000000000000002E-2</v>
      </c>
      <c r="F134" s="1067">
        <v>0.13</v>
      </c>
    </row>
    <row r="135" spans="1:6" ht="14.25" thickBot="1">
      <c r="A135" s="840" t="s">
        <v>55</v>
      </c>
      <c r="B135" s="834" t="s">
        <v>430</v>
      </c>
      <c r="C135" s="1066">
        <v>0.123</v>
      </c>
      <c r="D135" s="1066">
        <v>0.123</v>
      </c>
      <c r="E135" s="1066">
        <v>0.11</v>
      </c>
      <c r="F135" s="1078"/>
    </row>
    <row r="136" spans="1:6" ht="14.25" thickBot="1">
      <c r="A136" s="840" t="s">
        <v>55</v>
      </c>
      <c r="B136" s="834" t="s">
        <v>437</v>
      </c>
      <c r="C136" s="1066">
        <v>0.13</v>
      </c>
      <c r="D136" s="1066">
        <v>0.13</v>
      </c>
      <c r="E136" s="1066">
        <v>0.125</v>
      </c>
      <c r="F136" s="1078"/>
    </row>
    <row r="137" spans="1:6" ht="14.25" thickBot="1">
      <c r="A137" s="840" t="s">
        <v>55</v>
      </c>
      <c r="B137" s="834" t="s">
        <v>444</v>
      </c>
      <c r="C137" s="1066">
        <v>0.121</v>
      </c>
      <c r="D137" s="1066">
        <v>0.122</v>
      </c>
      <c r="E137" s="1066">
        <v>0.115</v>
      </c>
      <c r="F137" s="1078"/>
    </row>
    <row r="138" spans="1:6" ht="14.25" thickBot="1">
      <c r="A138" s="840" t="s">
        <v>55</v>
      </c>
      <c r="B138" s="834" t="s">
        <v>899</v>
      </c>
      <c r="C138" s="1066">
        <v>0.105</v>
      </c>
      <c r="D138" s="1066">
        <v>0.125</v>
      </c>
      <c r="E138" s="1066">
        <v>0.112</v>
      </c>
      <c r="F138" s="1078"/>
    </row>
    <row r="139" spans="1:6" ht="14.25" thickBot="1">
      <c r="A139" s="840" t="s">
        <v>55</v>
      </c>
      <c r="B139" s="834" t="s">
        <v>900</v>
      </c>
      <c r="C139" s="1066">
        <v>0.127</v>
      </c>
      <c r="D139" s="1066">
        <v>0.127</v>
      </c>
      <c r="E139" s="1066">
        <v>0.122</v>
      </c>
      <c r="F139" s="1067">
        <v>0.13</v>
      </c>
    </row>
    <row r="140" spans="1:6" ht="14.25" thickBot="1">
      <c r="A140" s="840" t="s">
        <v>55</v>
      </c>
      <c r="B140" s="834" t="s">
        <v>901</v>
      </c>
      <c r="C140" s="1066">
        <v>0.125</v>
      </c>
      <c r="D140" s="1066">
        <v>0.125</v>
      </c>
      <c r="E140" s="1066">
        <v>0.11899999999999999</v>
      </c>
      <c r="F140" s="1067">
        <v>0.13</v>
      </c>
    </row>
    <row r="141" spans="1:6" ht="14.25" thickBot="1">
      <c r="A141" s="840" t="s">
        <v>55</v>
      </c>
      <c r="B141" s="834" t="s">
        <v>463</v>
      </c>
      <c r="C141" s="1066">
        <v>0.125</v>
      </c>
      <c r="D141" s="1066">
        <v>0.125</v>
      </c>
      <c r="E141" s="1066">
        <v>0.11700000000000001</v>
      </c>
      <c r="F141" s="1078"/>
    </row>
    <row r="142" spans="1:6" ht="14.25" thickBot="1">
      <c r="A142" s="840" t="s">
        <v>55</v>
      </c>
      <c r="B142" s="834" t="s">
        <v>468</v>
      </c>
      <c r="C142" s="1066">
        <v>0.125</v>
      </c>
      <c r="D142" s="1066">
        <v>0.125</v>
      </c>
      <c r="E142" s="1066">
        <v>0.115</v>
      </c>
      <c r="F142" s="1078"/>
    </row>
    <row r="143" spans="1:6" ht="14.25" thickBot="1">
      <c r="A143" s="840" t="s">
        <v>55</v>
      </c>
      <c r="B143" s="834" t="s">
        <v>473</v>
      </c>
      <c r="C143" s="1066">
        <v>0.121</v>
      </c>
      <c r="D143" s="1066">
        <v>0.121</v>
      </c>
      <c r="E143" s="1066">
        <v>0.108</v>
      </c>
      <c r="F143" s="1078"/>
    </row>
    <row r="144" spans="1:6" ht="14.25" thickBot="1">
      <c r="A144" s="840" t="s">
        <v>55</v>
      </c>
      <c r="B144" s="1070" t="s">
        <v>902</v>
      </c>
      <c r="C144" s="1071">
        <v>0.126</v>
      </c>
      <c r="D144" s="1071">
        <v>0.126</v>
      </c>
      <c r="E144" s="1071">
        <v>0.121</v>
      </c>
      <c r="F144" s="1078"/>
    </row>
    <row r="145" spans="1:6" ht="14.25" thickBot="1">
      <c r="A145" s="850" t="s">
        <v>55</v>
      </c>
      <c r="B145" s="1072" t="s">
        <v>903</v>
      </c>
      <c r="C145" s="1080"/>
      <c r="D145" s="1080"/>
      <c r="E145" s="1080"/>
      <c r="F145" s="1073">
        <v>0.05</v>
      </c>
    </row>
    <row r="146" spans="1:6" ht="24.75" thickBot="1">
      <c r="A146" s="1074" t="s">
        <v>55</v>
      </c>
      <c r="B146" s="844" t="s">
        <v>904</v>
      </c>
      <c r="C146" s="1079"/>
      <c r="D146" s="1079"/>
      <c r="E146" s="1079"/>
      <c r="F146" s="1075">
        <v>0.05</v>
      </c>
    </row>
    <row r="147" spans="1:6" ht="24.75" thickBot="1">
      <c r="A147" s="840" t="s">
        <v>55</v>
      </c>
      <c r="B147" s="834" t="s">
        <v>905</v>
      </c>
      <c r="C147" s="1079"/>
      <c r="D147" s="1079"/>
      <c r="E147" s="1079"/>
      <c r="F147" s="1067">
        <v>0.05</v>
      </c>
    </row>
    <row r="148" spans="1:6" ht="24.75" thickBot="1">
      <c r="A148" s="840" t="s">
        <v>55</v>
      </c>
      <c r="B148" s="834" t="s">
        <v>906</v>
      </c>
      <c r="C148" s="1079"/>
      <c r="D148" s="1079"/>
      <c r="E148" s="1079"/>
      <c r="F148" s="1067">
        <v>0.05</v>
      </c>
    </row>
    <row r="149" spans="1:6" ht="24.75" thickBot="1">
      <c r="A149" s="840" t="s">
        <v>55</v>
      </c>
      <c r="B149" s="834" t="s">
        <v>907</v>
      </c>
      <c r="C149" s="1079"/>
      <c r="D149" s="1079"/>
      <c r="E149" s="1079"/>
      <c r="F149" s="1067">
        <v>0.05</v>
      </c>
    </row>
    <row r="150" spans="1:6" ht="24.75" thickBot="1">
      <c r="A150" s="840" t="s">
        <v>55</v>
      </c>
      <c r="B150" s="834" t="s">
        <v>908</v>
      </c>
      <c r="C150" s="1079"/>
      <c r="D150" s="1079"/>
      <c r="E150" s="1079"/>
      <c r="F150" s="1067">
        <v>0.05</v>
      </c>
    </row>
    <row r="151" spans="1:6" ht="24.75" thickBot="1">
      <c r="A151" s="840" t="s">
        <v>55</v>
      </c>
      <c r="B151" s="834" t="s">
        <v>909</v>
      </c>
      <c r="C151" s="1079"/>
      <c r="D151" s="1079"/>
      <c r="E151" s="1079"/>
      <c r="F151" s="1067">
        <v>0.05</v>
      </c>
    </row>
    <row r="152" spans="1:6" ht="24.75" thickBot="1">
      <c r="A152" s="840" t="s">
        <v>55</v>
      </c>
      <c r="B152" s="834" t="s">
        <v>506</v>
      </c>
      <c r="C152" s="1079"/>
      <c r="D152" s="1079"/>
      <c r="E152" s="1079"/>
      <c r="F152" s="1067">
        <v>0.05</v>
      </c>
    </row>
    <row r="153" spans="1:6" ht="14.25" thickBot="1">
      <c r="A153" s="840" t="s">
        <v>55</v>
      </c>
      <c r="B153" s="834" t="s">
        <v>910</v>
      </c>
      <c r="C153" s="1079"/>
      <c r="D153" s="1079"/>
      <c r="E153" s="1079"/>
      <c r="F153" s="1067">
        <v>0.05</v>
      </c>
    </row>
    <row r="154" spans="1:6" ht="14.25" thickBot="1">
      <c r="A154" s="840" t="s">
        <v>55</v>
      </c>
      <c r="B154" s="834" t="s">
        <v>911</v>
      </c>
      <c r="C154" s="1079"/>
      <c r="D154" s="1079"/>
      <c r="E154" s="1079"/>
      <c r="F154" s="1067">
        <v>0.05</v>
      </c>
    </row>
    <row r="155" spans="1:6" ht="24.75" thickBot="1">
      <c r="A155" s="840" t="s">
        <v>55</v>
      </c>
      <c r="B155" s="834" t="s">
        <v>912</v>
      </c>
      <c r="C155" s="1079"/>
      <c r="D155" s="1079"/>
      <c r="E155" s="1079"/>
      <c r="F155" s="1067">
        <v>0.05</v>
      </c>
    </row>
    <row r="156" spans="1:6" ht="24.75" thickBot="1">
      <c r="A156" s="840" t="s">
        <v>55</v>
      </c>
      <c r="B156" s="834" t="s">
        <v>913</v>
      </c>
      <c r="C156" s="1079"/>
      <c r="D156" s="1079"/>
      <c r="E156" s="1079"/>
      <c r="F156" s="1067">
        <v>0.05</v>
      </c>
    </row>
    <row r="157" spans="1:6" ht="14.25" thickBot="1">
      <c r="A157" s="850" t="s">
        <v>55</v>
      </c>
      <c r="B157" s="846" t="s">
        <v>914</v>
      </c>
      <c r="C157" s="1076"/>
      <c r="D157" s="1076"/>
      <c r="E157" s="1076"/>
      <c r="F157" s="1069">
        <v>0.05</v>
      </c>
    </row>
    <row r="158" spans="1:6" ht="14.25" thickBot="1">
      <c r="A158" s="840" t="s">
        <v>525</v>
      </c>
      <c r="B158" s="841" t="s">
        <v>915</v>
      </c>
      <c r="C158" s="1064">
        <v>0.13</v>
      </c>
      <c r="D158" s="1064">
        <v>0.13</v>
      </c>
      <c r="E158" s="1064">
        <v>0.13</v>
      </c>
      <c r="F158" s="1065">
        <v>0.13</v>
      </c>
    </row>
    <row r="159" spans="1:6" ht="14.25" thickBot="1">
      <c r="A159" s="840" t="s">
        <v>525</v>
      </c>
      <c r="B159" s="834" t="s">
        <v>192</v>
      </c>
      <c r="C159" s="1066">
        <v>0.13</v>
      </c>
      <c r="D159" s="1066">
        <v>0.13</v>
      </c>
      <c r="E159" s="1066">
        <v>0.13</v>
      </c>
      <c r="F159" s="1067">
        <v>0.13</v>
      </c>
    </row>
    <row r="160" spans="1:6" ht="14.25" thickBot="1">
      <c r="A160" s="840" t="s">
        <v>525</v>
      </c>
      <c r="B160" s="834" t="s">
        <v>205</v>
      </c>
      <c r="C160" s="1066">
        <v>0.13</v>
      </c>
      <c r="D160" s="1066">
        <v>0.13</v>
      </c>
      <c r="E160" s="1066">
        <v>0.129</v>
      </c>
      <c r="F160" s="1067">
        <v>0.13</v>
      </c>
    </row>
    <row r="161" spans="1:6" ht="14.25" thickBot="1">
      <c r="A161" s="840" t="s">
        <v>525</v>
      </c>
      <c r="B161" s="834" t="s">
        <v>218</v>
      </c>
      <c r="C161" s="1066">
        <v>0.128</v>
      </c>
      <c r="D161" s="1066">
        <v>0.128</v>
      </c>
      <c r="E161" s="1066">
        <v>0.125</v>
      </c>
      <c r="F161" s="1067">
        <v>0.13</v>
      </c>
    </row>
    <row r="162" spans="1:6" ht="14.25" thickBot="1">
      <c r="A162" s="840" t="s">
        <v>525</v>
      </c>
      <c r="B162" s="834" t="s">
        <v>230</v>
      </c>
      <c r="C162" s="1066">
        <v>0.122</v>
      </c>
      <c r="D162" s="1066">
        <v>0.122</v>
      </c>
      <c r="E162" s="1066">
        <v>0.126</v>
      </c>
      <c r="F162" s="1067">
        <v>0.122</v>
      </c>
    </row>
    <row r="163" spans="1:6" ht="14.25" thickBot="1">
      <c r="A163" s="840" t="s">
        <v>525</v>
      </c>
      <c r="B163" s="834" t="s">
        <v>241</v>
      </c>
      <c r="C163" s="1066">
        <v>0.13</v>
      </c>
      <c r="D163" s="1066">
        <v>0.13</v>
      </c>
      <c r="E163" s="1066">
        <v>0.125</v>
      </c>
      <c r="F163" s="1067">
        <v>0.13</v>
      </c>
    </row>
    <row r="164" spans="1:6" ht="14.25" thickBot="1">
      <c r="A164" s="840" t="s">
        <v>525</v>
      </c>
      <c r="B164" s="834" t="s">
        <v>252</v>
      </c>
      <c r="C164" s="1066">
        <v>0.13</v>
      </c>
      <c r="D164" s="1066">
        <v>0.13</v>
      </c>
      <c r="E164" s="1066">
        <v>0.13</v>
      </c>
      <c r="F164" s="1067">
        <v>0.13</v>
      </c>
    </row>
    <row r="165" spans="1:6" ht="14.25" thickBot="1">
      <c r="A165" s="840" t="s">
        <v>525</v>
      </c>
      <c r="B165" s="834" t="s">
        <v>263</v>
      </c>
      <c r="C165" s="1066">
        <v>0.13</v>
      </c>
      <c r="D165" s="1066">
        <v>0.13</v>
      </c>
      <c r="E165" s="1066">
        <v>0.124</v>
      </c>
      <c r="F165" s="1067">
        <v>0.13</v>
      </c>
    </row>
    <row r="166" spans="1:6" ht="14.25" thickBot="1">
      <c r="A166" s="840" t="s">
        <v>525</v>
      </c>
      <c r="B166" s="834" t="s">
        <v>275</v>
      </c>
      <c r="C166" s="1066">
        <v>0.13</v>
      </c>
      <c r="D166" s="1066">
        <v>0.13</v>
      </c>
      <c r="E166" s="1066">
        <v>0.13</v>
      </c>
      <c r="F166" s="1067">
        <v>0.13</v>
      </c>
    </row>
    <row r="167" spans="1:6" ht="14.25" thickBot="1">
      <c r="A167" s="840" t="s">
        <v>525</v>
      </c>
      <c r="B167" s="834" t="s">
        <v>285</v>
      </c>
      <c r="C167" s="1066">
        <v>0.125</v>
      </c>
      <c r="D167" s="1066">
        <v>0.125</v>
      </c>
      <c r="E167" s="1066">
        <v>0.121</v>
      </c>
      <c r="F167" s="1078"/>
    </row>
    <row r="168" spans="1:6" ht="14.25" thickBot="1">
      <c r="A168" s="840" t="s">
        <v>525</v>
      </c>
      <c r="B168" s="834" t="s">
        <v>295</v>
      </c>
      <c r="C168" s="1066">
        <v>0.13</v>
      </c>
      <c r="D168" s="1066">
        <v>0.13</v>
      </c>
      <c r="E168" s="1066">
        <v>0.126</v>
      </c>
      <c r="F168" s="1078"/>
    </row>
    <row r="169" spans="1:6" ht="14.25" thickBot="1">
      <c r="A169" s="840" t="s">
        <v>525</v>
      </c>
      <c r="B169" s="834" t="s">
        <v>305</v>
      </c>
      <c r="C169" s="1066">
        <v>0.128</v>
      </c>
      <c r="D169" s="1066">
        <v>0.129</v>
      </c>
      <c r="E169" s="1066">
        <v>0.13</v>
      </c>
      <c r="F169" s="1078"/>
    </row>
    <row r="170" spans="1:6" ht="14.25" thickBot="1">
      <c r="A170" s="840" t="s">
        <v>525</v>
      </c>
      <c r="B170" s="834" t="s">
        <v>315</v>
      </c>
      <c r="C170" s="1066">
        <v>0.14099999999999999</v>
      </c>
      <c r="D170" s="1066">
        <v>0.13</v>
      </c>
      <c r="E170" s="1066">
        <v>0.125</v>
      </c>
      <c r="F170" s="1078"/>
    </row>
    <row r="171" spans="1:6" ht="14.25" thickBot="1">
      <c r="A171" s="840" t="s">
        <v>525</v>
      </c>
      <c r="B171" s="834" t="s">
        <v>916</v>
      </c>
      <c r="C171" s="1066">
        <v>0.127</v>
      </c>
      <c r="D171" s="1066">
        <v>0.126</v>
      </c>
      <c r="E171" s="1066">
        <v>0.126</v>
      </c>
      <c r="F171" s="1067">
        <v>0.11799999999999999</v>
      </c>
    </row>
    <row r="172" spans="1:6" ht="14.25" thickBot="1">
      <c r="A172" s="840" t="s">
        <v>525</v>
      </c>
      <c r="B172" s="834" t="s">
        <v>917</v>
      </c>
      <c r="C172" s="1066">
        <v>0.13</v>
      </c>
      <c r="D172" s="1066">
        <v>0.13</v>
      </c>
      <c r="E172" s="1066">
        <v>0.13</v>
      </c>
      <c r="F172" s="1078"/>
    </row>
    <row r="173" spans="1:6" ht="14.25" thickBot="1">
      <c r="A173" s="840" t="s">
        <v>525</v>
      </c>
      <c r="B173" s="834" t="s">
        <v>347</v>
      </c>
      <c r="C173" s="1066">
        <v>0.13</v>
      </c>
      <c r="D173" s="1066">
        <v>0.13</v>
      </c>
      <c r="E173" s="1066">
        <v>0.13</v>
      </c>
      <c r="F173" s="1078"/>
    </row>
    <row r="174" spans="1:6" ht="14.25" thickBot="1">
      <c r="A174" s="840" t="s">
        <v>525</v>
      </c>
      <c r="B174" s="834" t="s">
        <v>918</v>
      </c>
      <c r="C174" s="1066">
        <v>0.13</v>
      </c>
      <c r="D174" s="1066">
        <v>0.13</v>
      </c>
      <c r="E174" s="1066">
        <v>0.13</v>
      </c>
      <c r="F174" s="1067">
        <v>0.13</v>
      </c>
    </row>
    <row r="175" spans="1:6" ht="14.25" thickBot="1">
      <c r="A175" s="840" t="s">
        <v>525</v>
      </c>
      <c r="B175" s="834" t="s">
        <v>919</v>
      </c>
      <c r="C175" s="1066">
        <v>0.13</v>
      </c>
      <c r="D175" s="1066">
        <v>0.13</v>
      </c>
      <c r="E175" s="1066">
        <v>0.13</v>
      </c>
      <c r="F175" s="1067">
        <v>0.13</v>
      </c>
    </row>
    <row r="176" spans="1:6" ht="14.25" thickBot="1">
      <c r="A176" s="840" t="s">
        <v>525</v>
      </c>
      <c r="B176" s="834" t="s">
        <v>377</v>
      </c>
      <c r="C176" s="1066">
        <v>0.13</v>
      </c>
      <c r="D176" s="1066">
        <v>0.13</v>
      </c>
      <c r="E176" s="1066">
        <v>0.13</v>
      </c>
      <c r="F176" s="1067">
        <v>0.13</v>
      </c>
    </row>
    <row r="177" spans="1:6" ht="14.25" thickBot="1">
      <c r="A177" s="840" t="s">
        <v>525</v>
      </c>
      <c r="B177" s="834" t="s">
        <v>920</v>
      </c>
      <c r="C177" s="1066">
        <v>0.13</v>
      </c>
      <c r="D177" s="1066">
        <v>0.13</v>
      </c>
      <c r="E177" s="1066">
        <v>0.13</v>
      </c>
      <c r="F177" s="1067">
        <v>0.13</v>
      </c>
    </row>
    <row r="178" spans="1:6" ht="14.25" thickBot="1">
      <c r="A178" s="840" t="s">
        <v>525</v>
      </c>
      <c r="B178" s="834" t="s">
        <v>395</v>
      </c>
      <c r="C178" s="1066">
        <v>0.13</v>
      </c>
      <c r="D178" s="1066">
        <v>0.13</v>
      </c>
      <c r="E178" s="1066">
        <v>0.13</v>
      </c>
      <c r="F178" s="1067">
        <v>0.127</v>
      </c>
    </row>
    <row r="179" spans="1:6" ht="14.25" thickBot="1">
      <c r="A179" s="840" t="s">
        <v>525</v>
      </c>
      <c r="B179" s="834" t="s">
        <v>403</v>
      </c>
      <c r="C179" s="1066">
        <v>0.13</v>
      </c>
      <c r="D179" s="1066">
        <v>0.13</v>
      </c>
      <c r="E179" s="1066">
        <v>0.13</v>
      </c>
      <c r="F179" s="1078"/>
    </row>
    <row r="180" spans="1:6" ht="14.25" thickBot="1">
      <c r="A180" s="840" t="s">
        <v>525</v>
      </c>
      <c r="B180" s="834" t="s">
        <v>921</v>
      </c>
      <c r="C180" s="1066">
        <v>0.13</v>
      </c>
      <c r="D180" s="1066">
        <v>0.13</v>
      </c>
      <c r="E180" s="1066">
        <v>0.125</v>
      </c>
      <c r="F180" s="1067">
        <v>0.13</v>
      </c>
    </row>
    <row r="181" spans="1:6" ht="14.25" thickBot="1">
      <c r="A181" s="840" t="s">
        <v>525</v>
      </c>
      <c r="B181" s="834" t="s">
        <v>417</v>
      </c>
      <c r="C181" s="1066">
        <v>0.122</v>
      </c>
      <c r="D181" s="1066">
        <v>0.123</v>
      </c>
      <c r="E181" s="1066">
        <v>0.126</v>
      </c>
      <c r="F181" s="1067">
        <v>0.121</v>
      </c>
    </row>
    <row r="182" spans="1:6" ht="14.25" thickBot="1">
      <c r="A182" s="840" t="s">
        <v>525</v>
      </c>
      <c r="B182" s="834" t="s">
        <v>424</v>
      </c>
      <c r="C182" s="1066">
        <v>0.125</v>
      </c>
      <c r="D182" s="1066">
        <v>0.125</v>
      </c>
      <c r="E182" s="1066">
        <v>0.11700000000000001</v>
      </c>
      <c r="F182" s="1067">
        <v>0.13</v>
      </c>
    </row>
    <row r="183" spans="1:6" ht="14.25" thickBot="1">
      <c r="A183" s="840" t="s">
        <v>525</v>
      </c>
      <c r="B183" s="834" t="s">
        <v>431</v>
      </c>
      <c r="C183" s="1066">
        <v>0.127</v>
      </c>
      <c r="D183" s="1066">
        <v>0.127</v>
      </c>
      <c r="E183" s="1066">
        <v>0.128</v>
      </c>
      <c r="F183" s="1078"/>
    </row>
    <row r="184" spans="1:6" ht="14.25" thickBot="1">
      <c r="A184" s="840" t="s">
        <v>525</v>
      </c>
      <c r="B184" s="834" t="s">
        <v>438</v>
      </c>
      <c r="C184" s="1066">
        <v>0.125</v>
      </c>
      <c r="D184" s="1066">
        <v>0.125</v>
      </c>
      <c r="E184" s="1066">
        <v>0.127</v>
      </c>
      <c r="F184" s="1078"/>
    </row>
    <row r="185" spans="1:6" ht="14.25" thickBot="1">
      <c r="A185" s="840" t="s">
        <v>525</v>
      </c>
      <c r="B185" s="834" t="s">
        <v>922</v>
      </c>
      <c r="C185" s="1066">
        <v>0.127</v>
      </c>
      <c r="D185" s="1066">
        <v>0.127</v>
      </c>
      <c r="E185" s="1066">
        <v>0.128</v>
      </c>
      <c r="F185" s="1067">
        <v>0.13</v>
      </c>
    </row>
    <row r="186" spans="1:6" ht="24.75" thickBot="1">
      <c r="A186" s="840" t="s">
        <v>525</v>
      </c>
      <c r="B186" s="834" t="s">
        <v>923</v>
      </c>
      <c r="C186" s="1079"/>
      <c r="D186" s="1079"/>
      <c r="E186" s="1079"/>
      <c r="F186" s="1067">
        <v>0.05</v>
      </c>
    </row>
    <row r="187" spans="1:6" ht="14.25" thickBot="1">
      <c r="A187" s="840" t="s">
        <v>525</v>
      </c>
      <c r="B187" s="834" t="s">
        <v>924</v>
      </c>
      <c r="C187" s="1079"/>
      <c r="D187" s="1079"/>
      <c r="E187" s="1079"/>
      <c r="F187" s="1067">
        <v>0.05</v>
      </c>
    </row>
    <row r="188" spans="1:6" ht="14.25" thickBot="1">
      <c r="A188" s="840" t="s">
        <v>525</v>
      </c>
      <c r="B188" s="834" t="s">
        <v>925</v>
      </c>
      <c r="C188" s="1079"/>
      <c r="D188" s="1079"/>
      <c r="E188" s="1079"/>
      <c r="F188" s="1067">
        <v>0.05</v>
      </c>
    </row>
    <row r="189" spans="1:6" ht="24.75" thickBot="1">
      <c r="A189" s="840" t="s">
        <v>525</v>
      </c>
      <c r="B189" s="834" t="s">
        <v>926</v>
      </c>
      <c r="C189" s="1079"/>
      <c r="D189" s="1079"/>
      <c r="E189" s="1079"/>
      <c r="F189" s="1067">
        <v>0.05</v>
      </c>
    </row>
    <row r="190" spans="1:6" ht="24.75" thickBot="1">
      <c r="A190" s="840" t="s">
        <v>525</v>
      </c>
      <c r="B190" s="834" t="s">
        <v>927</v>
      </c>
      <c r="C190" s="1079"/>
      <c r="D190" s="1079"/>
      <c r="E190" s="1079"/>
      <c r="F190" s="1067">
        <v>0.05</v>
      </c>
    </row>
    <row r="191" spans="1:6" ht="24.75" thickBot="1">
      <c r="A191" s="840" t="s">
        <v>525</v>
      </c>
      <c r="B191" s="834" t="s">
        <v>928</v>
      </c>
      <c r="C191" s="1079"/>
      <c r="D191" s="1079"/>
      <c r="E191" s="1079"/>
      <c r="F191" s="1067">
        <v>0.05</v>
      </c>
    </row>
    <row r="192" spans="1:6" ht="24.75" thickBot="1">
      <c r="A192" s="840" t="s">
        <v>525</v>
      </c>
      <c r="B192" s="834" t="s">
        <v>929</v>
      </c>
      <c r="C192" s="1079"/>
      <c r="D192" s="1079"/>
      <c r="E192" s="1079"/>
      <c r="F192" s="1067">
        <v>0.05</v>
      </c>
    </row>
    <row r="193" spans="1:6" ht="24.75" thickBot="1">
      <c r="A193" s="840" t="s">
        <v>525</v>
      </c>
      <c r="B193" s="834" t="s">
        <v>930</v>
      </c>
      <c r="C193" s="1079"/>
      <c r="D193" s="1079"/>
      <c r="E193" s="1079"/>
      <c r="F193" s="1067">
        <v>0.05</v>
      </c>
    </row>
    <row r="194" spans="1:6" ht="24.75" thickBot="1">
      <c r="A194" s="840" t="s">
        <v>525</v>
      </c>
      <c r="B194" s="834" t="s">
        <v>931</v>
      </c>
      <c r="C194" s="1079"/>
      <c r="D194" s="1079"/>
      <c r="E194" s="1079"/>
      <c r="F194" s="1067">
        <v>0.05</v>
      </c>
    </row>
    <row r="195" spans="1:6" ht="14.25" thickBot="1">
      <c r="A195" s="840" t="s">
        <v>525</v>
      </c>
      <c r="B195" s="834" t="s">
        <v>932</v>
      </c>
      <c r="C195" s="1079"/>
      <c r="D195" s="1079"/>
      <c r="E195" s="1079"/>
      <c r="F195" s="1067">
        <v>0.05</v>
      </c>
    </row>
    <row r="196" spans="1:6" ht="24.75" thickBot="1">
      <c r="A196" s="840" t="s">
        <v>525</v>
      </c>
      <c r="B196" s="834" t="s">
        <v>933</v>
      </c>
      <c r="C196" s="1079"/>
      <c r="D196" s="1079"/>
      <c r="E196" s="1079"/>
      <c r="F196" s="1067">
        <v>0.05</v>
      </c>
    </row>
    <row r="197" spans="1:6" ht="24.75" thickBot="1">
      <c r="A197" s="840" t="s">
        <v>525</v>
      </c>
      <c r="B197" s="834" t="s">
        <v>934</v>
      </c>
      <c r="C197" s="1079"/>
      <c r="D197" s="1079"/>
      <c r="E197" s="1079"/>
      <c r="F197" s="1067">
        <v>0.05</v>
      </c>
    </row>
    <row r="198" spans="1:6" ht="24.75" thickBot="1">
      <c r="A198" s="840" t="s">
        <v>525</v>
      </c>
      <c r="B198" s="834" t="s">
        <v>935</v>
      </c>
      <c r="C198" s="1079"/>
      <c r="D198" s="1079"/>
      <c r="E198" s="1079"/>
      <c r="F198" s="1067">
        <v>0.05</v>
      </c>
    </row>
    <row r="199" spans="1:6" ht="24.75" thickBot="1">
      <c r="A199" s="840" t="s">
        <v>525</v>
      </c>
      <c r="B199" s="834" t="s">
        <v>936</v>
      </c>
      <c r="C199" s="1079"/>
      <c r="D199" s="1079"/>
      <c r="E199" s="1079"/>
      <c r="F199" s="1067">
        <v>0.05</v>
      </c>
    </row>
    <row r="200" spans="1:6" ht="24.75" thickBot="1">
      <c r="A200" s="840" t="s">
        <v>525</v>
      </c>
      <c r="B200" s="834" t="s">
        <v>937</v>
      </c>
      <c r="C200" s="1079"/>
      <c r="D200" s="1079"/>
      <c r="E200" s="1079"/>
      <c r="F200" s="1067">
        <v>0.05</v>
      </c>
    </row>
    <row r="201" spans="1:6" ht="24.75" thickBot="1">
      <c r="A201" s="840" t="s">
        <v>525</v>
      </c>
      <c r="B201" s="834" t="s">
        <v>938</v>
      </c>
      <c r="C201" s="1079"/>
      <c r="D201" s="1079"/>
      <c r="E201" s="1079"/>
      <c r="F201" s="1067">
        <v>0.05</v>
      </c>
    </row>
    <row r="202" spans="1:6" ht="24.75" thickBot="1">
      <c r="A202" s="840" t="s">
        <v>525</v>
      </c>
      <c r="B202" s="834" t="s">
        <v>939</v>
      </c>
      <c r="C202" s="1079"/>
      <c r="D202" s="1079"/>
      <c r="E202" s="1079"/>
      <c r="F202" s="1067">
        <v>0.05</v>
      </c>
    </row>
    <row r="203" spans="1:6" ht="24.75" thickBot="1">
      <c r="A203" s="840" t="s">
        <v>525</v>
      </c>
      <c r="B203" s="834" t="s">
        <v>940</v>
      </c>
      <c r="C203" s="1079"/>
      <c r="D203" s="1079"/>
      <c r="E203" s="1079"/>
      <c r="F203" s="1067">
        <v>0.05</v>
      </c>
    </row>
    <row r="204" spans="1:6" ht="14.25" thickBot="1">
      <c r="A204" s="840" t="s">
        <v>525</v>
      </c>
      <c r="B204" s="834" t="s">
        <v>941</v>
      </c>
      <c r="C204" s="1079"/>
      <c r="D204" s="1079"/>
      <c r="E204" s="1079"/>
      <c r="F204" s="1067">
        <v>0.05</v>
      </c>
    </row>
    <row r="205" spans="1:6" ht="14.25" thickBot="1">
      <c r="A205" s="850" t="s">
        <v>525</v>
      </c>
      <c r="B205" s="846" t="s">
        <v>942</v>
      </c>
      <c r="C205" s="1076"/>
      <c r="D205" s="1076"/>
      <c r="E205" s="1076"/>
      <c r="F205" s="1069">
        <v>0.05</v>
      </c>
    </row>
    <row r="206" spans="1:6" ht="14.25" thickBot="1">
      <c r="A206" s="840" t="s">
        <v>527</v>
      </c>
      <c r="B206" s="841" t="s">
        <v>943</v>
      </c>
      <c r="C206" s="1064">
        <v>0.15</v>
      </c>
      <c r="D206" s="1064">
        <v>0.15</v>
      </c>
      <c r="E206" s="1064">
        <v>0.15</v>
      </c>
      <c r="F206" s="1065">
        <v>0.15</v>
      </c>
    </row>
    <row r="207" spans="1:6" ht="14.25" thickBot="1">
      <c r="A207" s="840" t="s">
        <v>527</v>
      </c>
      <c r="B207" s="834" t="s">
        <v>193</v>
      </c>
      <c r="C207" s="1066">
        <v>0.15</v>
      </c>
      <c r="D207" s="1066">
        <v>0.15</v>
      </c>
      <c r="E207" s="1066">
        <v>0.15</v>
      </c>
      <c r="F207" s="1067">
        <v>0.14399999999999999</v>
      </c>
    </row>
    <row r="208" spans="1:6" ht="14.25" thickBot="1">
      <c r="A208" s="840" t="s">
        <v>527</v>
      </c>
      <c r="B208" s="834" t="s">
        <v>206</v>
      </c>
      <c r="C208" s="1066">
        <v>0.15</v>
      </c>
      <c r="D208" s="1066">
        <v>0.15</v>
      </c>
      <c r="E208" s="1066">
        <v>0.15</v>
      </c>
      <c r="F208" s="1067">
        <v>0.15</v>
      </c>
    </row>
    <row r="209" spans="1:6" ht="14.25" thickBot="1">
      <c r="A209" s="840" t="s">
        <v>527</v>
      </c>
      <c r="B209" s="834" t="s">
        <v>219</v>
      </c>
      <c r="C209" s="1066">
        <v>0.13700000000000001</v>
      </c>
      <c r="D209" s="1066">
        <v>0.13700000000000001</v>
      </c>
      <c r="E209" s="1066">
        <v>0.14000000000000001</v>
      </c>
      <c r="F209" s="1067">
        <v>0.11700000000000001</v>
      </c>
    </row>
    <row r="210" spans="1:6" ht="14.25" thickBot="1">
      <c r="A210" s="840" t="s">
        <v>527</v>
      </c>
      <c r="B210" s="834" t="s">
        <v>944</v>
      </c>
      <c r="C210" s="1066">
        <v>0.15</v>
      </c>
      <c r="D210" s="1066">
        <v>0.15</v>
      </c>
      <c r="E210" s="1066">
        <v>0.15</v>
      </c>
      <c r="F210" s="1067">
        <v>0.13800000000000001</v>
      </c>
    </row>
    <row r="211" spans="1:6" ht="14.25" thickBot="1">
      <c r="A211" s="840" t="s">
        <v>527</v>
      </c>
      <c r="B211" s="834" t="s">
        <v>945</v>
      </c>
      <c r="C211" s="1066">
        <v>0.13700000000000001</v>
      </c>
      <c r="D211" s="1066">
        <v>0.13500000000000001</v>
      </c>
      <c r="E211" s="1066">
        <v>0.13600000000000001</v>
      </c>
      <c r="F211" s="1067">
        <v>0.1</v>
      </c>
    </row>
    <row r="212" spans="1:6" ht="14.25" thickBot="1">
      <c r="A212" s="840" t="s">
        <v>527</v>
      </c>
      <c r="B212" s="834" t="s">
        <v>946</v>
      </c>
      <c r="C212" s="1066">
        <v>0.15</v>
      </c>
      <c r="D212" s="1066">
        <v>0.15</v>
      </c>
      <c r="E212" s="1066">
        <v>0.14799999999999999</v>
      </c>
      <c r="F212" s="1067">
        <v>0.13600000000000001</v>
      </c>
    </row>
    <row r="213" spans="1:6" ht="14.25" thickBot="1">
      <c r="A213" s="840" t="s">
        <v>527</v>
      </c>
      <c r="B213" s="834" t="s">
        <v>264</v>
      </c>
      <c r="C213" s="1066">
        <v>0.15</v>
      </c>
      <c r="D213" s="1066">
        <v>0.15</v>
      </c>
      <c r="E213" s="1066">
        <v>0.15</v>
      </c>
      <c r="F213" s="1067">
        <v>0.13800000000000001</v>
      </c>
    </row>
    <row r="214" spans="1:6" ht="14.25" thickBot="1">
      <c r="A214" s="840" t="s">
        <v>527</v>
      </c>
      <c r="B214" s="834" t="s">
        <v>276</v>
      </c>
      <c r="C214" s="1066">
        <v>9.0999999999999998E-2</v>
      </c>
      <c r="D214" s="1066">
        <v>0.09</v>
      </c>
      <c r="E214" s="1066">
        <v>9.1999999999999998E-2</v>
      </c>
      <c r="F214" s="1078"/>
    </row>
    <row r="215" spans="1:6" ht="14.25" thickBot="1">
      <c r="A215" s="840" t="s">
        <v>527</v>
      </c>
      <c r="B215" s="834" t="s">
        <v>947</v>
      </c>
      <c r="C215" s="1066">
        <v>0.15</v>
      </c>
      <c r="D215" s="1066">
        <v>0.15</v>
      </c>
      <c r="E215" s="1066">
        <v>0.15</v>
      </c>
      <c r="F215" s="1067">
        <v>0.15</v>
      </c>
    </row>
    <row r="216" spans="1:6" ht="14.25" thickBot="1">
      <c r="A216" s="840" t="s">
        <v>527</v>
      </c>
      <c r="B216" s="834" t="s">
        <v>296</v>
      </c>
      <c r="C216" s="1066">
        <v>0.14699999999999999</v>
      </c>
      <c r="D216" s="1066">
        <v>0.14699999999999999</v>
      </c>
      <c r="E216" s="1066">
        <v>0.15</v>
      </c>
      <c r="F216" s="1067">
        <v>0.14000000000000001</v>
      </c>
    </row>
    <row r="217" spans="1:6" ht="14.25" thickBot="1">
      <c r="A217" s="840" t="s">
        <v>527</v>
      </c>
      <c r="B217" s="834" t="s">
        <v>306</v>
      </c>
      <c r="C217" s="1066">
        <v>0.15</v>
      </c>
      <c r="D217" s="1066">
        <v>0.15</v>
      </c>
      <c r="E217" s="1066">
        <v>0.15</v>
      </c>
      <c r="F217" s="1067">
        <v>0.15</v>
      </c>
    </row>
    <row r="218" spans="1:6" ht="14.25" thickBot="1">
      <c r="A218" s="840" t="s">
        <v>527</v>
      </c>
      <c r="B218" s="834" t="s">
        <v>948</v>
      </c>
      <c r="C218" s="1066">
        <v>0.15</v>
      </c>
      <c r="D218" s="1066">
        <v>0.15</v>
      </c>
      <c r="E218" s="1066">
        <v>0.15</v>
      </c>
      <c r="F218" s="1067">
        <v>0.15</v>
      </c>
    </row>
    <row r="219" spans="1:6" ht="14.25" thickBot="1">
      <c r="A219" s="840" t="s">
        <v>527</v>
      </c>
      <c r="B219" s="834" t="s">
        <v>327</v>
      </c>
      <c r="C219" s="1066">
        <v>0.15</v>
      </c>
      <c r="D219" s="1066">
        <v>0.15</v>
      </c>
      <c r="E219" s="1066">
        <v>0.15</v>
      </c>
      <c r="F219" s="1067">
        <v>0.14799999999999999</v>
      </c>
    </row>
    <row r="220" spans="1:6" ht="14.25" thickBot="1">
      <c r="A220" s="840" t="s">
        <v>527</v>
      </c>
      <c r="B220" s="834" t="s">
        <v>949</v>
      </c>
      <c r="C220" s="1066">
        <v>0.15</v>
      </c>
      <c r="D220" s="1066">
        <v>0.15</v>
      </c>
      <c r="E220" s="1066">
        <v>0.15</v>
      </c>
      <c r="F220" s="1067">
        <v>0.15</v>
      </c>
    </row>
    <row r="221" spans="1:6" ht="14.25" thickBot="1">
      <c r="A221" s="840" t="s">
        <v>527</v>
      </c>
      <c r="B221" s="834" t="s">
        <v>348</v>
      </c>
      <c r="C221" s="1066"/>
      <c r="D221" s="1079"/>
      <c r="E221" s="1079"/>
      <c r="F221" s="1067">
        <v>0.14799999999999999</v>
      </c>
    </row>
    <row r="222" spans="1:6" ht="14.25" thickBot="1">
      <c r="A222" s="840" t="s">
        <v>527</v>
      </c>
      <c r="B222" s="834" t="s">
        <v>358</v>
      </c>
      <c r="C222" s="1066"/>
      <c r="D222" s="1079"/>
      <c r="E222" s="1079"/>
      <c r="F222" s="1067">
        <v>0.1</v>
      </c>
    </row>
    <row r="223" spans="1:6" ht="14.25" thickBot="1">
      <c r="A223" s="840" t="s">
        <v>527</v>
      </c>
      <c r="B223" s="834" t="s">
        <v>368</v>
      </c>
      <c r="C223" s="1066"/>
      <c r="D223" s="1079"/>
      <c r="E223" s="1079"/>
      <c r="F223" s="1067">
        <v>0.15</v>
      </c>
    </row>
    <row r="224" spans="1:6" ht="14.25" thickBot="1">
      <c r="A224" s="840" t="s">
        <v>527</v>
      </c>
      <c r="B224" s="834" t="s">
        <v>378</v>
      </c>
      <c r="C224" s="1066"/>
      <c r="D224" s="1079"/>
      <c r="E224" s="1079"/>
      <c r="F224" s="1067">
        <v>0.15</v>
      </c>
    </row>
    <row r="225" spans="1:6" ht="14.25" thickBot="1">
      <c r="A225" s="840" t="s">
        <v>527</v>
      </c>
      <c r="B225" s="834" t="s">
        <v>950</v>
      </c>
      <c r="C225" s="1066">
        <v>0.15</v>
      </c>
      <c r="D225" s="1066">
        <v>0.15</v>
      </c>
      <c r="E225" s="1066">
        <v>0.15</v>
      </c>
      <c r="F225" s="1067">
        <v>0.15</v>
      </c>
    </row>
    <row r="226" spans="1:6" ht="14.25" thickBot="1">
      <c r="A226" s="840" t="s">
        <v>527</v>
      </c>
      <c r="B226" s="834" t="s">
        <v>396</v>
      </c>
      <c r="C226" s="1066">
        <v>0.15</v>
      </c>
      <c r="D226" s="1066">
        <v>0.15</v>
      </c>
      <c r="E226" s="1066">
        <v>0.15</v>
      </c>
      <c r="F226" s="1067">
        <v>0.14799999999999999</v>
      </c>
    </row>
    <row r="227" spans="1:6" ht="14.25" thickBot="1">
      <c r="A227" s="840" t="s">
        <v>527</v>
      </c>
      <c r="B227" s="834" t="s">
        <v>951</v>
      </c>
      <c r="C227" s="1066">
        <v>0.15</v>
      </c>
      <c r="D227" s="1066">
        <v>0.15</v>
      </c>
      <c r="E227" s="1066">
        <v>0.15</v>
      </c>
      <c r="F227" s="1067">
        <v>0.15</v>
      </c>
    </row>
    <row r="228" spans="1:6" ht="14.25" thickBot="1">
      <c r="A228" s="840" t="s">
        <v>527</v>
      </c>
      <c r="B228" s="834" t="s">
        <v>411</v>
      </c>
      <c r="C228" s="1066">
        <v>0.15</v>
      </c>
      <c r="D228" s="1066">
        <v>0.15</v>
      </c>
      <c r="E228" s="1066">
        <v>0.15</v>
      </c>
      <c r="F228" s="1067">
        <v>0.15</v>
      </c>
    </row>
    <row r="229" spans="1:6" ht="14.25" thickBot="1">
      <c r="A229" s="840" t="s">
        <v>527</v>
      </c>
      <c r="B229" s="834" t="s">
        <v>418</v>
      </c>
      <c r="C229" s="1066">
        <v>0.15</v>
      </c>
      <c r="D229" s="1066">
        <v>0.15</v>
      </c>
      <c r="E229" s="1066">
        <v>0.15</v>
      </c>
      <c r="F229" s="1078"/>
    </row>
    <row r="230" spans="1:6" ht="14.25" thickBot="1">
      <c r="A230" s="840" t="s">
        <v>527</v>
      </c>
      <c r="B230" s="834" t="s">
        <v>425</v>
      </c>
      <c r="C230" s="1066">
        <v>0.14499999999999999</v>
      </c>
      <c r="D230" s="1066">
        <v>0.14499999999999999</v>
      </c>
      <c r="E230" s="1066">
        <v>0.14399999999999999</v>
      </c>
      <c r="F230" s="1078"/>
    </row>
    <row r="231" spans="1:6" ht="14.25" thickBot="1">
      <c r="A231" s="840" t="s">
        <v>527</v>
      </c>
      <c r="B231" s="834" t="s">
        <v>952</v>
      </c>
      <c r="C231" s="1066">
        <v>0.128</v>
      </c>
      <c r="D231" s="1066">
        <v>0.125</v>
      </c>
      <c r="E231" s="1066">
        <v>0.13200000000000001</v>
      </c>
      <c r="F231" s="1078"/>
    </row>
    <row r="232" spans="1:6" ht="14.25" thickBot="1">
      <c r="A232" s="840" t="s">
        <v>527</v>
      </c>
      <c r="B232" s="834" t="s">
        <v>953</v>
      </c>
      <c r="C232" s="1066">
        <v>0.14499999999999999</v>
      </c>
      <c r="D232" s="1066">
        <v>0.14399999999999999</v>
      </c>
      <c r="E232" s="1066">
        <v>0.14599999999999999</v>
      </c>
      <c r="F232" s="1067">
        <v>0.13800000000000001</v>
      </c>
    </row>
    <row r="233" spans="1:6" ht="14.25" thickBot="1">
      <c r="A233" s="840" t="s">
        <v>527</v>
      </c>
      <c r="B233" s="834" t="s">
        <v>954</v>
      </c>
      <c r="C233" s="1066">
        <v>0.14499999999999999</v>
      </c>
      <c r="D233" s="1066">
        <v>0.14299999999999999</v>
      </c>
      <c r="E233" s="1066">
        <v>0.14199999999999999</v>
      </c>
      <c r="F233" s="1078"/>
    </row>
    <row r="234" spans="1:6" ht="14.25" thickBot="1">
      <c r="A234" s="840" t="s">
        <v>527</v>
      </c>
      <c r="B234" s="834" t="s">
        <v>955</v>
      </c>
      <c r="C234" s="1066">
        <v>0.14000000000000001</v>
      </c>
      <c r="D234" s="1066">
        <v>0.14000000000000001</v>
      </c>
      <c r="E234" s="1066">
        <v>0.14399999999999999</v>
      </c>
      <c r="F234" s="1078"/>
    </row>
    <row r="235" spans="1:6" ht="14.25" thickBot="1">
      <c r="A235" s="840" t="s">
        <v>527</v>
      </c>
      <c r="B235" s="834" t="s">
        <v>956</v>
      </c>
      <c r="C235" s="1066">
        <v>0.14099999999999999</v>
      </c>
      <c r="D235" s="1066">
        <v>0.14199999999999999</v>
      </c>
      <c r="E235" s="1066">
        <v>0.14499999999999999</v>
      </c>
      <c r="F235" s="1067">
        <v>0.15</v>
      </c>
    </row>
    <row r="236" spans="1:6" ht="14.25" thickBot="1">
      <c r="A236" s="840" t="s">
        <v>527</v>
      </c>
      <c r="B236" s="834" t="s">
        <v>460</v>
      </c>
      <c r="C236" s="1079"/>
      <c r="D236" s="1079"/>
      <c r="E236" s="1079"/>
      <c r="F236" s="1067">
        <v>0.14299999999999999</v>
      </c>
    </row>
    <row r="237" spans="1:6" ht="24.75" thickBot="1">
      <c r="A237" s="840" t="s">
        <v>527</v>
      </c>
      <c r="B237" s="834" t="s">
        <v>957</v>
      </c>
      <c r="C237" s="1079"/>
      <c r="D237" s="1079"/>
      <c r="E237" s="1079"/>
      <c r="F237" s="1067">
        <v>0.05</v>
      </c>
    </row>
    <row r="238" spans="1:6" ht="24.75" thickBot="1">
      <c r="A238" s="840" t="s">
        <v>527</v>
      </c>
      <c r="B238" s="834" t="s">
        <v>958</v>
      </c>
      <c r="C238" s="1079"/>
      <c r="D238" s="1079"/>
      <c r="E238" s="1079"/>
      <c r="F238" s="1067">
        <v>0.05</v>
      </c>
    </row>
    <row r="239" spans="1:6" ht="24.75" thickBot="1">
      <c r="A239" s="840" t="s">
        <v>527</v>
      </c>
      <c r="B239" s="834" t="s">
        <v>959</v>
      </c>
      <c r="C239" s="1079"/>
      <c r="D239" s="1079"/>
      <c r="E239" s="1079"/>
      <c r="F239" s="1067">
        <v>0.05</v>
      </c>
    </row>
    <row r="240" spans="1:6" ht="24.75" thickBot="1">
      <c r="A240" s="840" t="s">
        <v>527</v>
      </c>
      <c r="B240" s="834" t="s">
        <v>960</v>
      </c>
      <c r="C240" s="1079"/>
      <c r="D240" s="1079"/>
      <c r="E240" s="1079"/>
      <c r="F240" s="1067">
        <v>0.05</v>
      </c>
    </row>
    <row r="241" spans="1:6" ht="24.75" thickBot="1">
      <c r="A241" s="840" t="s">
        <v>527</v>
      </c>
      <c r="B241" s="834" t="s">
        <v>961</v>
      </c>
      <c r="C241" s="1079"/>
      <c r="D241" s="1079"/>
      <c r="E241" s="1079"/>
      <c r="F241" s="1067">
        <v>0.05</v>
      </c>
    </row>
    <row r="242" spans="1:6" ht="24.75" thickBot="1">
      <c r="A242" s="840" t="s">
        <v>527</v>
      </c>
      <c r="B242" s="834" t="s">
        <v>962</v>
      </c>
      <c r="C242" s="1079"/>
      <c r="D242" s="1079"/>
      <c r="E242" s="1079"/>
      <c r="F242" s="1067">
        <v>0.05</v>
      </c>
    </row>
    <row r="243" spans="1:6" ht="24.75" thickBot="1">
      <c r="A243" s="840" t="s">
        <v>527</v>
      </c>
      <c r="B243" s="834" t="s">
        <v>963</v>
      </c>
      <c r="C243" s="1079"/>
      <c r="D243" s="1079"/>
      <c r="E243" s="1079"/>
      <c r="F243" s="1067">
        <v>0.05</v>
      </c>
    </row>
    <row r="244" spans="1:6" ht="24.75" thickBot="1">
      <c r="A244" s="850" t="s">
        <v>527</v>
      </c>
      <c r="B244" s="846" t="s">
        <v>964</v>
      </c>
      <c r="C244" s="1076"/>
      <c r="D244" s="1076"/>
      <c r="E244" s="1076"/>
      <c r="F244" s="1069">
        <v>0.05</v>
      </c>
    </row>
    <row r="245" spans="1:6" ht="14.25" thickBot="1">
      <c r="A245" s="840" t="s">
        <v>529</v>
      </c>
      <c r="B245" s="841" t="s">
        <v>965</v>
      </c>
      <c r="C245" s="1064">
        <v>0.15</v>
      </c>
      <c r="D245" s="1064">
        <v>0.15</v>
      </c>
      <c r="E245" s="1064">
        <v>0.15</v>
      </c>
      <c r="F245" s="1065">
        <v>0.14299999999999999</v>
      </c>
    </row>
    <row r="246" spans="1:6" ht="14.25" thickBot="1">
      <c r="A246" s="840" t="s">
        <v>529</v>
      </c>
      <c r="B246" s="834" t="s">
        <v>194</v>
      </c>
      <c r="C246" s="1066">
        <v>0.15</v>
      </c>
      <c r="D246" s="1066">
        <v>0.15</v>
      </c>
      <c r="E246" s="1066">
        <v>0.15</v>
      </c>
      <c r="F246" s="1067">
        <v>0.114</v>
      </c>
    </row>
    <row r="247" spans="1:6" ht="14.25" thickBot="1">
      <c r="A247" s="840" t="s">
        <v>529</v>
      </c>
      <c r="B247" s="834" t="s">
        <v>966</v>
      </c>
      <c r="C247" s="1066">
        <v>0.15</v>
      </c>
      <c r="D247" s="1066">
        <v>0.15</v>
      </c>
      <c r="E247" s="1066">
        <v>0.15</v>
      </c>
      <c r="F247" s="1067">
        <v>0.15</v>
      </c>
    </row>
    <row r="248" spans="1:6" ht="14.25" thickBot="1">
      <c r="A248" s="840" t="s">
        <v>529</v>
      </c>
      <c r="B248" s="834" t="s">
        <v>967</v>
      </c>
      <c r="C248" s="1066">
        <v>0.15</v>
      </c>
      <c r="D248" s="1066">
        <v>0.15</v>
      </c>
      <c r="E248" s="1066">
        <v>0.15</v>
      </c>
      <c r="F248" s="1067">
        <v>0.14000000000000001</v>
      </c>
    </row>
    <row r="249" spans="1:6" ht="14.25" thickBot="1">
      <c r="A249" s="840" t="s">
        <v>529</v>
      </c>
      <c r="B249" s="834" t="s">
        <v>968</v>
      </c>
      <c r="C249" s="1066">
        <v>0.15</v>
      </c>
      <c r="D249" s="1066">
        <v>0.14899999999999999</v>
      </c>
      <c r="E249" s="1066">
        <v>0.15</v>
      </c>
      <c r="F249" s="1067">
        <v>0.1</v>
      </c>
    </row>
    <row r="250" spans="1:6" ht="14.25" thickBot="1">
      <c r="A250" s="840" t="s">
        <v>529</v>
      </c>
      <c r="B250" s="834" t="s">
        <v>969</v>
      </c>
      <c r="C250" s="1066">
        <v>0.15</v>
      </c>
      <c r="D250" s="1066">
        <v>0.15</v>
      </c>
      <c r="E250" s="1066">
        <v>0.15</v>
      </c>
      <c r="F250" s="1067">
        <v>0.14399999999999999</v>
      </c>
    </row>
    <row r="251" spans="1:6" ht="14.25" thickBot="1">
      <c r="A251" s="840" t="s">
        <v>529</v>
      </c>
      <c r="B251" s="834" t="s">
        <v>254</v>
      </c>
      <c r="C251" s="1066">
        <v>0.15</v>
      </c>
      <c r="D251" s="1066">
        <v>0.15</v>
      </c>
      <c r="E251" s="1066">
        <v>0.15</v>
      </c>
      <c r="F251" s="1067">
        <v>0.14299999999999999</v>
      </c>
    </row>
    <row r="252" spans="1:6" ht="14.25" thickBot="1">
      <c r="A252" s="840" t="s">
        <v>529</v>
      </c>
      <c r="B252" s="834" t="s">
        <v>265</v>
      </c>
      <c r="C252" s="1066">
        <v>0.15</v>
      </c>
      <c r="D252" s="1066">
        <v>0.15</v>
      </c>
      <c r="E252" s="1066">
        <v>0.15</v>
      </c>
      <c r="F252" s="1067">
        <v>0.1</v>
      </c>
    </row>
    <row r="253" spans="1:6" ht="14.25" thickBot="1">
      <c r="A253" s="840" t="s">
        <v>529</v>
      </c>
      <c r="B253" s="834" t="s">
        <v>277</v>
      </c>
      <c r="C253" s="1066">
        <v>0.15</v>
      </c>
      <c r="D253" s="1066">
        <v>0.15</v>
      </c>
      <c r="E253" s="1066">
        <v>0.15</v>
      </c>
      <c r="F253" s="1067">
        <v>0.1</v>
      </c>
    </row>
    <row r="254" spans="1:6" ht="14.25" thickBot="1">
      <c r="A254" s="840" t="s">
        <v>529</v>
      </c>
      <c r="B254" s="834" t="s">
        <v>287</v>
      </c>
      <c r="C254" s="1079"/>
      <c r="D254" s="1079"/>
      <c r="E254" s="1079"/>
      <c r="F254" s="1067">
        <v>0.15</v>
      </c>
    </row>
    <row r="255" spans="1:6" ht="14.25" thickBot="1">
      <c r="A255" s="840" t="s">
        <v>529</v>
      </c>
      <c r="B255" s="834" t="s">
        <v>297</v>
      </c>
      <c r="C255" s="1079"/>
      <c r="D255" s="1079"/>
      <c r="E255" s="1079"/>
      <c r="F255" s="1067">
        <v>0.14299999999999999</v>
      </c>
    </row>
    <row r="256" spans="1:6" ht="14.25" thickBot="1">
      <c r="A256" s="840" t="s">
        <v>529</v>
      </c>
      <c r="B256" s="834" t="s">
        <v>970</v>
      </c>
      <c r="C256" s="1066">
        <v>0.14599999999999999</v>
      </c>
      <c r="D256" s="1066">
        <v>0.14699999999999999</v>
      </c>
      <c r="E256" s="1066">
        <v>0.15</v>
      </c>
      <c r="F256" s="1067">
        <v>0.13200000000000001</v>
      </c>
    </row>
    <row r="257" spans="1:6" ht="14.25" thickBot="1">
      <c r="A257" s="840" t="s">
        <v>529</v>
      </c>
      <c r="B257" s="834" t="s">
        <v>317</v>
      </c>
      <c r="C257" s="1066">
        <v>0.15</v>
      </c>
      <c r="D257" s="1066">
        <v>0.15</v>
      </c>
      <c r="E257" s="1066">
        <v>0.15</v>
      </c>
      <c r="F257" s="1067">
        <v>0.13900000000000001</v>
      </c>
    </row>
    <row r="258" spans="1:6" ht="14.25" thickBot="1">
      <c r="A258" s="840" t="s">
        <v>529</v>
      </c>
      <c r="B258" s="834" t="s">
        <v>328</v>
      </c>
      <c r="C258" s="1066">
        <v>0.15</v>
      </c>
      <c r="D258" s="1066">
        <v>0.15</v>
      </c>
      <c r="E258" s="1066">
        <v>0.15</v>
      </c>
      <c r="F258" s="1067">
        <v>0.13</v>
      </c>
    </row>
    <row r="259" spans="1:6" ht="14.25" thickBot="1">
      <c r="A259" s="840" t="s">
        <v>529</v>
      </c>
      <c r="B259" s="834" t="s">
        <v>971</v>
      </c>
      <c r="C259" s="1066">
        <v>0.14799999999999999</v>
      </c>
      <c r="D259" s="1066">
        <v>0.14899999999999999</v>
      </c>
      <c r="E259" s="1066">
        <v>0.15</v>
      </c>
      <c r="F259" s="1067">
        <v>0.13700000000000001</v>
      </c>
    </row>
    <row r="260" spans="1:6" ht="14.25" thickBot="1">
      <c r="A260" s="840" t="s">
        <v>529</v>
      </c>
      <c r="B260" s="834" t="s">
        <v>349</v>
      </c>
      <c r="C260" s="1066">
        <v>0.15</v>
      </c>
      <c r="D260" s="1066">
        <v>0.15</v>
      </c>
      <c r="E260" s="1066">
        <v>0.15</v>
      </c>
      <c r="F260" s="1067">
        <v>0.14199999999999999</v>
      </c>
    </row>
    <row r="261" spans="1:6" ht="14.25" thickBot="1">
      <c r="A261" s="840" t="s">
        <v>529</v>
      </c>
      <c r="B261" s="834" t="s">
        <v>359</v>
      </c>
      <c r="C261" s="1066">
        <v>0.15</v>
      </c>
      <c r="D261" s="1066">
        <v>0.15</v>
      </c>
      <c r="E261" s="1066">
        <v>0.14899999999999999</v>
      </c>
      <c r="F261" s="1067">
        <v>0.14799999999999999</v>
      </c>
    </row>
    <row r="262" spans="1:6" ht="14.25" thickBot="1">
      <c r="A262" s="840" t="s">
        <v>529</v>
      </c>
      <c r="B262" s="834" t="s">
        <v>369</v>
      </c>
      <c r="C262" s="1066">
        <v>0.15</v>
      </c>
      <c r="D262" s="1066">
        <v>0.15</v>
      </c>
      <c r="E262" s="1066">
        <v>0.15</v>
      </c>
      <c r="F262" s="1078"/>
    </row>
    <row r="263" spans="1:6" ht="14.25" thickBot="1">
      <c r="A263" s="840" t="s">
        <v>529</v>
      </c>
      <c r="B263" s="834" t="s">
        <v>972</v>
      </c>
      <c r="C263" s="1066">
        <v>0.14899999999999999</v>
      </c>
      <c r="D263" s="1066">
        <v>0.14899999999999999</v>
      </c>
      <c r="E263" s="1066">
        <v>0.15</v>
      </c>
      <c r="F263" s="1067">
        <v>0.13</v>
      </c>
    </row>
    <row r="264" spans="1:6" ht="14.25" thickBot="1">
      <c r="A264" s="840" t="s">
        <v>529</v>
      </c>
      <c r="B264" s="834" t="s">
        <v>388</v>
      </c>
      <c r="C264" s="1066">
        <v>0.14799999999999999</v>
      </c>
      <c r="D264" s="1066">
        <v>0.14699999999999999</v>
      </c>
      <c r="E264" s="1066">
        <v>0.15</v>
      </c>
      <c r="F264" s="1067">
        <v>7.8E-2</v>
      </c>
    </row>
    <row r="265" spans="1:6" ht="14.25" thickBot="1">
      <c r="A265" s="840" t="s">
        <v>529</v>
      </c>
      <c r="B265" s="834" t="s">
        <v>397</v>
      </c>
      <c r="C265" s="1066">
        <v>0.15</v>
      </c>
      <c r="D265" s="1066">
        <v>0.15</v>
      </c>
      <c r="E265" s="1066">
        <v>0.15</v>
      </c>
      <c r="F265" s="1067">
        <v>7.3999999999999996E-2</v>
      </c>
    </row>
    <row r="266" spans="1:6" ht="14.25" thickBot="1">
      <c r="A266" s="840" t="s">
        <v>529</v>
      </c>
      <c r="B266" s="834" t="s">
        <v>405</v>
      </c>
      <c r="C266" s="1066">
        <v>0.14699999999999999</v>
      </c>
      <c r="D266" s="1066">
        <v>0.14699999999999999</v>
      </c>
      <c r="E266" s="1066">
        <v>0.15</v>
      </c>
      <c r="F266" s="1067">
        <v>0.14299999999999999</v>
      </c>
    </row>
    <row r="267" spans="1:6" ht="14.25" thickBot="1">
      <c r="A267" s="840" t="s">
        <v>529</v>
      </c>
      <c r="B267" s="834" t="s">
        <v>412</v>
      </c>
      <c r="C267" s="1066">
        <v>0.14199999999999999</v>
      </c>
      <c r="D267" s="1066">
        <v>0.14299999999999999</v>
      </c>
      <c r="E267" s="1066">
        <v>0.15</v>
      </c>
      <c r="F267" s="1078"/>
    </row>
    <row r="268" spans="1:6" ht="14.25" thickBot="1">
      <c r="A268" s="840" t="s">
        <v>529</v>
      </c>
      <c r="B268" s="834" t="s">
        <v>973</v>
      </c>
      <c r="C268" s="1066">
        <v>0.15</v>
      </c>
      <c r="D268" s="1066">
        <v>0.15</v>
      </c>
      <c r="E268" s="1066">
        <v>0.15</v>
      </c>
      <c r="F268" s="1067">
        <v>0.13</v>
      </c>
    </row>
    <row r="269" spans="1:6" ht="14.25" thickBot="1">
      <c r="A269" s="840" t="s">
        <v>529</v>
      </c>
      <c r="B269" s="834" t="s">
        <v>426</v>
      </c>
      <c r="C269" s="1066">
        <v>0.15</v>
      </c>
      <c r="D269" s="1066">
        <v>0.15</v>
      </c>
      <c r="E269" s="1066">
        <v>0.15</v>
      </c>
      <c r="F269" s="1067">
        <v>0.14299999999999999</v>
      </c>
    </row>
    <row r="270" spans="1:6" ht="14.25" thickBot="1">
      <c r="A270" s="840" t="s">
        <v>529</v>
      </c>
      <c r="B270" s="834" t="s">
        <v>433</v>
      </c>
      <c r="C270" s="1066">
        <v>0.14499999999999999</v>
      </c>
      <c r="D270" s="1066">
        <v>0.14499999999999999</v>
      </c>
      <c r="E270" s="1066">
        <v>0.15</v>
      </c>
      <c r="F270" s="1067">
        <v>0.14699999999999999</v>
      </c>
    </row>
    <row r="271" spans="1:6" ht="14.25" thickBot="1">
      <c r="A271" s="840" t="s">
        <v>529</v>
      </c>
      <c r="B271" s="834" t="s">
        <v>440</v>
      </c>
      <c r="C271" s="1066">
        <v>0.15</v>
      </c>
      <c r="D271" s="1066">
        <v>0.15</v>
      </c>
      <c r="E271" s="1066">
        <v>0.15</v>
      </c>
      <c r="F271" s="1067">
        <v>0.13800000000000001</v>
      </c>
    </row>
    <row r="272" spans="1:6" ht="14.25" thickBot="1">
      <c r="A272" s="840" t="s">
        <v>529</v>
      </c>
      <c r="B272" s="834" t="s">
        <v>447</v>
      </c>
      <c r="C272" s="1079"/>
      <c r="D272" s="1079"/>
      <c r="E272" s="1079"/>
      <c r="F272" s="1067">
        <v>0.14000000000000001</v>
      </c>
    </row>
    <row r="273" spans="1:6" ht="14.25" thickBot="1">
      <c r="A273" s="840" t="s">
        <v>529</v>
      </c>
      <c r="B273" s="834" t="s">
        <v>974</v>
      </c>
      <c r="C273" s="1066">
        <v>0.14199999999999999</v>
      </c>
      <c r="D273" s="1066">
        <v>0.14299999999999999</v>
      </c>
      <c r="E273" s="1066">
        <v>0.15</v>
      </c>
      <c r="F273" s="1067">
        <v>0.1</v>
      </c>
    </row>
    <row r="274" spans="1:6" ht="14.25" thickBot="1">
      <c r="A274" s="840" t="s">
        <v>529</v>
      </c>
      <c r="B274" s="834" t="s">
        <v>975</v>
      </c>
      <c r="C274" s="1066">
        <v>0.14799999999999999</v>
      </c>
      <c r="D274" s="1066">
        <v>0.14799999999999999</v>
      </c>
      <c r="E274" s="1066">
        <v>0.15</v>
      </c>
      <c r="F274" s="1067">
        <v>6.7000000000000004E-2</v>
      </c>
    </row>
    <row r="275" spans="1:6" ht="14.25" thickBot="1">
      <c r="A275" s="840" t="s">
        <v>529</v>
      </c>
      <c r="B275" s="834" t="s">
        <v>976</v>
      </c>
      <c r="C275" s="1066">
        <v>0.15</v>
      </c>
      <c r="D275" s="1066">
        <v>0.15</v>
      </c>
      <c r="E275" s="1066">
        <v>0.15</v>
      </c>
      <c r="F275" s="1067">
        <v>0.15</v>
      </c>
    </row>
    <row r="276" spans="1:6" ht="14.25" thickBot="1">
      <c r="A276" s="840" t="s">
        <v>529</v>
      </c>
      <c r="B276" s="834" t="s">
        <v>977</v>
      </c>
      <c r="C276" s="1066">
        <v>0.14499999999999999</v>
      </c>
      <c r="D276" s="1066">
        <v>0.14299999999999999</v>
      </c>
      <c r="E276" s="1066">
        <v>0.15</v>
      </c>
      <c r="F276" s="1067">
        <v>5.8999999999999997E-2</v>
      </c>
    </row>
    <row r="277" spans="1:6" ht="14.25" thickBot="1">
      <c r="A277" s="840" t="s">
        <v>529</v>
      </c>
      <c r="B277" s="834" t="s">
        <v>978</v>
      </c>
      <c r="C277" s="1066">
        <v>0.15</v>
      </c>
      <c r="D277" s="1066">
        <v>0.15</v>
      </c>
      <c r="E277" s="1066">
        <v>0.15</v>
      </c>
      <c r="F277" s="1067">
        <v>0.121</v>
      </c>
    </row>
    <row r="278" spans="1:6" ht="14.25" thickBot="1">
      <c r="A278" s="840" t="s">
        <v>529</v>
      </c>
      <c r="B278" s="834" t="s">
        <v>979</v>
      </c>
      <c r="C278" s="1066">
        <v>0.15</v>
      </c>
      <c r="D278" s="1066">
        <v>0.15</v>
      </c>
      <c r="E278" s="1066">
        <v>0.15</v>
      </c>
      <c r="F278" s="1067">
        <v>0.13800000000000001</v>
      </c>
    </row>
    <row r="279" spans="1:6" ht="24.75" thickBot="1">
      <c r="A279" s="840" t="s">
        <v>529</v>
      </c>
      <c r="B279" s="834" t="s">
        <v>980</v>
      </c>
      <c r="C279" s="1079"/>
      <c r="D279" s="1079"/>
      <c r="E279" s="1079"/>
      <c r="F279" s="1067">
        <v>0.05</v>
      </c>
    </row>
    <row r="280" spans="1:6" ht="24.75" thickBot="1">
      <c r="A280" s="840" t="s">
        <v>529</v>
      </c>
      <c r="B280" s="834" t="s">
        <v>981</v>
      </c>
      <c r="C280" s="1079"/>
      <c r="D280" s="1079"/>
      <c r="E280" s="1079"/>
      <c r="F280" s="1067">
        <v>0.05</v>
      </c>
    </row>
    <row r="281" spans="1:6" ht="24.75" thickBot="1">
      <c r="A281" s="840" t="s">
        <v>529</v>
      </c>
      <c r="B281" s="834" t="s">
        <v>982</v>
      </c>
      <c r="C281" s="1079"/>
      <c r="D281" s="1079"/>
      <c r="E281" s="1079"/>
      <c r="F281" s="1067">
        <v>0.05</v>
      </c>
    </row>
    <row r="282" spans="1:6" ht="24.75" thickBot="1">
      <c r="A282" s="840" t="s">
        <v>529</v>
      </c>
      <c r="B282" s="834" t="s">
        <v>983</v>
      </c>
      <c r="C282" s="1079"/>
      <c r="D282" s="1079"/>
      <c r="E282" s="1079"/>
      <c r="F282" s="1067">
        <v>0.05</v>
      </c>
    </row>
    <row r="283" spans="1:6" ht="24.75" thickBot="1">
      <c r="A283" s="840" t="s">
        <v>529</v>
      </c>
      <c r="B283" s="834" t="s">
        <v>984</v>
      </c>
      <c r="C283" s="1079"/>
      <c r="D283" s="1079"/>
      <c r="E283" s="1079"/>
      <c r="F283" s="1067">
        <v>0.05</v>
      </c>
    </row>
    <row r="284" spans="1:6" ht="24.75" thickBot="1">
      <c r="A284" s="840" t="s">
        <v>529</v>
      </c>
      <c r="B284" s="834" t="s">
        <v>985</v>
      </c>
      <c r="C284" s="1079"/>
      <c r="D284" s="1079"/>
      <c r="E284" s="1079"/>
      <c r="F284" s="1067">
        <v>0.05</v>
      </c>
    </row>
    <row r="285" spans="1:6" ht="24.75" thickBot="1">
      <c r="A285" s="840" t="s">
        <v>529</v>
      </c>
      <c r="B285" s="834" t="s">
        <v>986</v>
      </c>
      <c r="C285" s="1079"/>
      <c r="D285" s="1079"/>
      <c r="E285" s="1079"/>
      <c r="F285" s="1067">
        <v>0.05</v>
      </c>
    </row>
    <row r="286" spans="1:6" ht="24.75" thickBot="1">
      <c r="A286" s="840" t="s">
        <v>529</v>
      </c>
      <c r="B286" s="834" t="s">
        <v>987</v>
      </c>
      <c r="C286" s="1079"/>
      <c r="D286" s="1079"/>
      <c r="E286" s="1079"/>
      <c r="F286" s="1067">
        <v>0.05</v>
      </c>
    </row>
    <row r="287" spans="1:6" ht="24.75" thickBot="1">
      <c r="A287" s="840" t="s">
        <v>529</v>
      </c>
      <c r="B287" s="834" t="s">
        <v>988</v>
      </c>
      <c r="C287" s="1079"/>
      <c r="D287" s="1079"/>
      <c r="E287" s="1079"/>
      <c r="F287" s="1067">
        <v>0.05</v>
      </c>
    </row>
    <row r="288" spans="1:6" ht="24.75" thickBot="1">
      <c r="A288" s="840" t="s">
        <v>529</v>
      </c>
      <c r="B288" s="834" t="s">
        <v>989</v>
      </c>
      <c r="C288" s="1079"/>
      <c r="D288" s="1079"/>
      <c r="E288" s="1079"/>
      <c r="F288" s="1067">
        <v>0.05</v>
      </c>
    </row>
    <row r="289" spans="1:6" ht="24.75" thickBot="1">
      <c r="A289" s="850" t="s">
        <v>529</v>
      </c>
      <c r="B289" s="846" t="s">
        <v>990</v>
      </c>
      <c r="C289" s="1076"/>
      <c r="D289" s="1076"/>
      <c r="E289" s="1076"/>
      <c r="F289" s="1069">
        <v>0.05</v>
      </c>
    </row>
    <row r="290" spans="1:6" ht="14.25" thickBot="1">
      <c r="A290" s="840" t="s">
        <v>533</v>
      </c>
      <c r="B290" s="841" t="s">
        <v>991</v>
      </c>
      <c r="C290" s="1064">
        <v>0.15</v>
      </c>
      <c r="D290" s="1064">
        <v>0.15</v>
      </c>
      <c r="E290" s="1064">
        <v>0.15</v>
      </c>
      <c r="F290" s="1081"/>
    </row>
    <row r="291" spans="1:6" ht="14.25" thickBot="1">
      <c r="A291" s="840" t="s">
        <v>533</v>
      </c>
      <c r="B291" s="834" t="s">
        <v>195</v>
      </c>
      <c r="C291" s="1066">
        <v>0.15</v>
      </c>
      <c r="D291" s="1066">
        <v>0.15</v>
      </c>
      <c r="E291" s="1066">
        <v>0.15</v>
      </c>
      <c r="F291" s="1078"/>
    </row>
    <row r="292" spans="1:6" ht="14.25" thickBot="1">
      <c r="A292" s="840" t="s">
        <v>533</v>
      </c>
      <c r="B292" s="834" t="s">
        <v>992</v>
      </c>
      <c r="C292" s="1066">
        <v>0.15</v>
      </c>
      <c r="D292" s="1066">
        <v>0.15</v>
      </c>
      <c r="E292" s="1066">
        <v>0.15</v>
      </c>
      <c r="F292" s="1067">
        <v>0.14699999999999999</v>
      </c>
    </row>
    <row r="293" spans="1:6" ht="14.25" thickBot="1">
      <c r="A293" s="840" t="s">
        <v>533</v>
      </c>
      <c r="B293" s="834" t="s">
        <v>993</v>
      </c>
      <c r="C293" s="1079"/>
      <c r="D293" s="1079"/>
      <c r="E293" s="1079"/>
      <c r="F293" s="1067">
        <v>0.1</v>
      </c>
    </row>
    <row r="294" spans="1:6" ht="14.25" thickBot="1">
      <c r="A294" s="840" t="s">
        <v>533</v>
      </c>
      <c r="B294" s="834" t="s">
        <v>994</v>
      </c>
      <c r="C294" s="1066">
        <v>0.15</v>
      </c>
      <c r="D294" s="1066">
        <v>0.15</v>
      </c>
      <c r="E294" s="1066">
        <v>0.15</v>
      </c>
      <c r="F294" s="1067">
        <v>0.15</v>
      </c>
    </row>
    <row r="295" spans="1:6" ht="14.25" thickBot="1">
      <c r="A295" s="840" t="s">
        <v>533</v>
      </c>
      <c r="B295" s="834" t="s">
        <v>233</v>
      </c>
      <c r="C295" s="1066">
        <v>0.15</v>
      </c>
      <c r="D295" s="1066">
        <v>0.15</v>
      </c>
      <c r="E295" s="1066">
        <v>0.15</v>
      </c>
      <c r="F295" s="1067">
        <v>0.15</v>
      </c>
    </row>
    <row r="296" spans="1:6" ht="14.25" thickBot="1">
      <c r="A296" s="840" t="s">
        <v>533</v>
      </c>
      <c r="B296" s="834" t="s">
        <v>995</v>
      </c>
      <c r="C296" s="1066">
        <v>0.15</v>
      </c>
      <c r="D296" s="1066">
        <v>0.15</v>
      </c>
      <c r="E296" s="1066">
        <v>0.15</v>
      </c>
      <c r="F296" s="1067">
        <v>0.15</v>
      </c>
    </row>
    <row r="297" spans="1:6" ht="14.25" thickBot="1">
      <c r="A297" s="840" t="s">
        <v>533</v>
      </c>
      <c r="B297" s="834" t="s">
        <v>996</v>
      </c>
      <c r="C297" s="1066">
        <v>0.14799999999999999</v>
      </c>
      <c r="D297" s="1066">
        <v>0.14899999999999999</v>
      </c>
      <c r="E297" s="1066">
        <v>0.15</v>
      </c>
      <c r="F297" s="1067">
        <v>0.13700000000000001</v>
      </c>
    </row>
    <row r="298" spans="1:6" ht="14.25" thickBot="1">
      <c r="A298" s="840" t="s">
        <v>533</v>
      </c>
      <c r="B298" s="834" t="s">
        <v>266</v>
      </c>
      <c r="C298" s="1066">
        <v>0.13400000000000001</v>
      </c>
      <c r="D298" s="1066">
        <v>0.13400000000000001</v>
      </c>
      <c r="E298" s="1066">
        <v>0.14499999999999999</v>
      </c>
      <c r="F298" s="1067">
        <v>0.14799999999999999</v>
      </c>
    </row>
    <row r="299" spans="1:6" ht="14.25" thickBot="1">
      <c r="A299" s="840" t="s">
        <v>533</v>
      </c>
      <c r="B299" s="834" t="s">
        <v>278</v>
      </c>
      <c r="C299" s="1066">
        <v>0.15</v>
      </c>
      <c r="D299" s="1066">
        <v>0.15</v>
      </c>
      <c r="E299" s="1066">
        <v>0.15</v>
      </c>
      <c r="F299" s="1078"/>
    </row>
    <row r="300" spans="1:6" ht="14.25" thickBot="1">
      <c r="A300" s="840" t="s">
        <v>533</v>
      </c>
      <c r="B300" s="834" t="s">
        <v>997</v>
      </c>
      <c r="C300" s="1066">
        <v>0.15</v>
      </c>
      <c r="D300" s="1066">
        <v>0.15</v>
      </c>
      <c r="E300" s="1066">
        <v>0.15</v>
      </c>
      <c r="F300" s="1067">
        <v>0.15</v>
      </c>
    </row>
    <row r="301" spans="1:6" ht="14.25" thickBot="1">
      <c r="A301" s="840" t="s">
        <v>533</v>
      </c>
      <c r="B301" s="834" t="s">
        <v>298</v>
      </c>
      <c r="C301" s="1066">
        <v>0.15</v>
      </c>
      <c r="D301" s="1066">
        <v>0.15</v>
      </c>
      <c r="E301" s="1066">
        <v>0.15</v>
      </c>
      <c r="F301" s="1078"/>
    </row>
    <row r="302" spans="1:6" ht="14.25" thickBot="1">
      <c r="A302" s="840" t="s">
        <v>533</v>
      </c>
      <c r="B302" s="834" t="s">
        <v>998</v>
      </c>
      <c r="C302" s="1066">
        <v>0.15</v>
      </c>
      <c r="D302" s="1066">
        <v>0.15</v>
      </c>
      <c r="E302" s="1066">
        <v>0.15</v>
      </c>
      <c r="F302" s="1067">
        <v>0.15</v>
      </c>
    </row>
    <row r="303" spans="1:6" ht="14.25" thickBot="1">
      <c r="A303" s="840" t="s">
        <v>533</v>
      </c>
      <c r="B303" s="834" t="s">
        <v>318</v>
      </c>
      <c r="C303" s="1066">
        <v>0.15</v>
      </c>
      <c r="D303" s="1066">
        <v>0.15</v>
      </c>
      <c r="E303" s="1066">
        <v>0.15</v>
      </c>
      <c r="F303" s="1067">
        <v>0.15</v>
      </c>
    </row>
    <row r="304" spans="1:6" ht="14.25" thickBot="1">
      <c r="A304" s="840" t="s">
        <v>533</v>
      </c>
      <c r="B304" s="834" t="s">
        <v>329</v>
      </c>
      <c r="C304" s="1066">
        <v>0.15</v>
      </c>
      <c r="D304" s="1066">
        <v>0.15</v>
      </c>
      <c r="E304" s="1066">
        <v>0.15</v>
      </c>
      <c r="F304" s="1078"/>
    </row>
    <row r="305" spans="1:6" ht="14.25" thickBot="1">
      <c r="A305" s="840" t="s">
        <v>533</v>
      </c>
      <c r="B305" s="834" t="s">
        <v>999</v>
      </c>
      <c r="C305" s="1066">
        <v>0.15</v>
      </c>
      <c r="D305" s="1066">
        <v>0.15</v>
      </c>
      <c r="E305" s="1066">
        <v>0.15</v>
      </c>
      <c r="F305" s="1067">
        <v>0.14000000000000001</v>
      </c>
    </row>
    <row r="306" spans="1:6" ht="14.25" thickBot="1">
      <c r="A306" s="840" t="s">
        <v>533</v>
      </c>
      <c r="B306" s="834" t="s">
        <v>350</v>
      </c>
      <c r="C306" s="1066">
        <v>0.15</v>
      </c>
      <c r="D306" s="1066">
        <v>0.15</v>
      </c>
      <c r="E306" s="1066">
        <v>0.15</v>
      </c>
      <c r="F306" s="1078"/>
    </row>
    <row r="307" spans="1:6" ht="14.25" thickBot="1">
      <c r="A307" s="840" t="s">
        <v>533</v>
      </c>
      <c r="B307" s="834" t="s">
        <v>1000</v>
      </c>
      <c r="C307" s="1066">
        <v>0.15</v>
      </c>
      <c r="D307" s="1066">
        <v>0.15</v>
      </c>
      <c r="E307" s="1066">
        <v>0.15</v>
      </c>
      <c r="F307" s="1067">
        <v>0.14299999999999999</v>
      </c>
    </row>
    <row r="308" spans="1:6" ht="14.25" thickBot="1">
      <c r="A308" s="840" t="s">
        <v>533</v>
      </c>
      <c r="B308" s="834" t="s">
        <v>370</v>
      </c>
      <c r="C308" s="1066">
        <v>0.15</v>
      </c>
      <c r="D308" s="1066">
        <v>0.15</v>
      </c>
      <c r="E308" s="1066">
        <v>0.15</v>
      </c>
      <c r="F308" s="1067">
        <v>0.15</v>
      </c>
    </row>
    <row r="309" spans="1:6" ht="14.25" thickBot="1">
      <c r="A309" s="840" t="s">
        <v>533</v>
      </c>
      <c r="B309" s="834" t="s">
        <v>380</v>
      </c>
      <c r="C309" s="1066">
        <v>0.15</v>
      </c>
      <c r="D309" s="1066">
        <v>0.15</v>
      </c>
      <c r="E309" s="1066">
        <v>0.15</v>
      </c>
      <c r="F309" s="1078"/>
    </row>
    <row r="310" spans="1:6" ht="14.25" thickBot="1">
      <c r="A310" s="840" t="s">
        <v>533</v>
      </c>
      <c r="B310" s="834" t="s">
        <v>1001</v>
      </c>
      <c r="C310" s="1066">
        <v>0.15</v>
      </c>
      <c r="D310" s="1066">
        <v>0.15</v>
      </c>
      <c r="E310" s="1066">
        <v>0.15</v>
      </c>
      <c r="F310" s="1067">
        <v>0.13700000000000001</v>
      </c>
    </row>
    <row r="311" spans="1:6" ht="14.25" thickBot="1">
      <c r="A311" s="840" t="s">
        <v>533</v>
      </c>
      <c r="B311" s="834" t="s">
        <v>1002</v>
      </c>
      <c r="C311" s="1066">
        <v>0.15</v>
      </c>
      <c r="D311" s="1066">
        <v>0.15</v>
      </c>
      <c r="E311" s="1066">
        <v>0.15</v>
      </c>
      <c r="F311" s="1067">
        <v>0.15</v>
      </c>
    </row>
    <row r="312" spans="1:6" ht="14.25" thickBot="1">
      <c r="A312" s="840" t="s">
        <v>533</v>
      </c>
      <c r="B312" s="834" t="s">
        <v>406</v>
      </c>
      <c r="C312" s="1066">
        <v>0.15</v>
      </c>
      <c r="D312" s="1066">
        <v>0.15</v>
      </c>
      <c r="E312" s="1066">
        <v>0.15</v>
      </c>
      <c r="F312" s="1067">
        <v>0.1</v>
      </c>
    </row>
    <row r="313" spans="1:6" ht="14.25" thickBot="1">
      <c r="A313" s="840" t="s">
        <v>533</v>
      </c>
      <c r="B313" s="834" t="s">
        <v>1003</v>
      </c>
      <c r="C313" s="1066">
        <v>0.15</v>
      </c>
      <c r="D313" s="1066">
        <v>0.15</v>
      </c>
      <c r="E313" s="1066">
        <v>0.15</v>
      </c>
      <c r="F313" s="1067">
        <v>0.15</v>
      </c>
    </row>
    <row r="314" spans="1:6" ht="24.75" thickBot="1">
      <c r="A314" s="840" t="s">
        <v>533</v>
      </c>
      <c r="B314" s="834" t="s">
        <v>1004</v>
      </c>
      <c r="C314" s="1079"/>
      <c r="D314" s="1079"/>
      <c r="E314" s="1079"/>
      <c r="F314" s="1067">
        <v>0.05</v>
      </c>
    </row>
    <row r="315" spans="1:6" ht="24.75" thickBot="1">
      <c r="A315" s="840" t="s">
        <v>533</v>
      </c>
      <c r="B315" s="834" t="s">
        <v>1005</v>
      </c>
      <c r="C315" s="1079"/>
      <c r="D315" s="1079"/>
      <c r="E315" s="1079"/>
      <c r="F315" s="1067">
        <v>0.05</v>
      </c>
    </row>
    <row r="316" spans="1:6" ht="24.75" thickBot="1">
      <c r="A316" s="850" t="s">
        <v>533</v>
      </c>
      <c r="B316" s="846" t="s">
        <v>1006</v>
      </c>
      <c r="C316" s="1076"/>
      <c r="D316" s="1076"/>
      <c r="E316" s="1076"/>
      <c r="F316" s="1069">
        <v>0.05</v>
      </c>
    </row>
    <row r="317" spans="1:6" ht="14.25" thickBot="1">
      <c r="A317" s="840" t="s">
        <v>1007</v>
      </c>
      <c r="B317" s="841" t="s">
        <v>1008</v>
      </c>
      <c r="C317" s="1064">
        <v>0.15</v>
      </c>
      <c r="D317" s="1064">
        <v>0.15</v>
      </c>
      <c r="E317" s="1064">
        <v>0.15</v>
      </c>
      <c r="F317" s="1065">
        <v>0.15</v>
      </c>
    </row>
    <row r="318" spans="1:6" ht="14.25" thickBot="1">
      <c r="A318" s="840" t="s">
        <v>1007</v>
      </c>
      <c r="B318" s="834" t="s">
        <v>1009</v>
      </c>
      <c r="C318" s="1066">
        <v>0.107</v>
      </c>
      <c r="D318" s="1066">
        <v>0.11</v>
      </c>
      <c r="E318" s="1066">
        <v>0.112</v>
      </c>
      <c r="F318" s="1078"/>
    </row>
    <row r="319" spans="1:6" ht="14.25" thickBot="1">
      <c r="A319" s="840" t="s">
        <v>1007</v>
      </c>
      <c r="B319" s="834" t="s">
        <v>1010</v>
      </c>
      <c r="C319" s="1066">
        <v>0.15</v>
      </c>
      <c r="D319" s="1066">
        <v>0.15</v>
      </c>
      <c r="E319" s="1066">
        <v>0.15</v>
      </c>
      <c r="F319" s="1067">
        <v>0.15</v>
      </c>
    </row>
    <row r="320" spans="1:6" ht="14.25" thickBot="1">
      <c r="A320" s="840" t="s">
        <v>1007</v>
      </c>
      <c r="B320" s="834" t="s">
        <v>222</v>
      </c>
      <c r="C320" s="1066">
        <v>0.15</v>
      </c>
      <c r="D320" s="1066">
        <v>0.15</v>
      </c>
      <c r="E320" s="1066">
        <v>0.15</v>
      </c>
      <c r="F320" s="1078"/>
    </row>
    <row r="321" spans="1:6" ht="14.25" thickBot="1">
      <c r="A321" s="840" t="s">
        <v>1007</v>
      </c>
      <c r="B321" s="834" t="s">
        <v>1011</v>
      </c>
      <c r="C321" s="1066">
        <v>0.15</v>
      </c>
      <c r="D321" s="1066">
        <v>0.15</v>
      </c>
      <c r="E321" s="1066">
        <v>0.15</v>
      </c>
      <c r="F321" s="1078"/>
    </row>
    <row r="322" spans="1:6" ht="14.25" thickBot="1">
      <c r="A322" s="840" t="s">
        <v>1007</v>
      </c>
      <c r="B322" s="834" t="s">
        <v>1012</v>
      </c>
      <c r="C322" s="1066">
        <v>0.15</v>
      </c>
      <c r="D322" s="1066">
        <v>0.15</v>
      </c>
      <c r="E322" s="1066">
        <v>0.15</v>
      </c>
      <c r="F322" s="1067">
        <v>0.15</v>
      </c>
    </row>
    <row r="323" spans="1:6" ht="14.25" thickBot="1">
      <c r="A323" s="840" t="s">
        <v>1007</v>
      </c>
      <c r="B323" s="834" t="s">
        <v>1013</v>
      </c>
      <c r="C323" s="1066">
        <v>0.15</v>
      </c>
      <c r="D323" s="1066">
        <v>0.15</v>
      </c>
      <c r="E323" s="1066">
        <v>0.15</v>
      </c>
      <c r="F323" s="1078"/>
    </row>
    <row r="324" spans="1:6" ht="14.25" thickBot="1">
      <c r="A324" s="840" t="s">
        <v>1007</v>
      </c>
      <c r="B324" s="834" t="s">
        <v>1014</v>
      </c>
      <c r="C324" s="1066">
        <v>0.15</v>
      </c>
      <c r="D324" s="1066">
        <v>0.15</v>
      </c>
      <c r="E324" s="1066">
        <v>0.15</v>
      </c>
      <c r="F324" s="1078"/>
    </row>
    <row r="325" spans="1:6" ht="14.25" thickBot="1">
      <c r="A325" s="840" t="s">
        <v>1007</v>
      </c>
      <c r="B325" s="834" t="s">
        <v>1015</v>
      </c>
      <c r="C325" s="1066">
        <v>0.15</v>
      </c>
      <c r="D325" s="1066">
        <v>0.15</v>
      </c>
      <c r="E325" s="1066">
        <v>0.15</v>
      </c>
      <c r="F325" s="1067">
        <v>0.14699999999999999</v>
      </c>
    </row>
    <row r="326" spans="1:6" ht="14.25" thickBot="1">
      <c r="A326" s="840" t="s">
        <v>1007</v>
      </c>
      <c r="B326" s="834" t="s">
        <v>289</v>
      </c>
      <c r="C326" s="1066">
        <v>0.15</v>
      </c>
      <c r="D326" s="1066">
        <v>0.15</v>
      </c>
      <c r="E326" s="1066">
        <v>0.15</v>
      </c>
      <c r="F326" s="1078"/>
    </row>
    <row r="327" spans="1:6" ht="14.25" thickBot="1">
      <c r="A327" s="840" t="s">
        <v>1007</v>
      </c>
      <c r="B327" s="834" t="s">
        <v>1016</v>
      </c>
      <c r="C327" s="1066">
        <v>0.15</v>
      </c>
      <c r="D327" s="1066">
        <v>0.15</v>
      </c>
      <c r="E327" s="1066">
        <v>0.15</v>
      </c>
      <c r="F327" s="1067">
        <v>0.15</v>
      </c>
    </row>
    <row r="328" spans="1:6" ht="14.25" thickBot="1">
      <c r="A328" s="840" t="s">
        <v>1007</v>
      </c>
      <c r="B328" s="834" t="s">
        <v>309</v>
      </c>
      <c r="C328" s="1066">
        <v>0.15</v>
      </c>
      <c r="D328" s="1066">
        <v>0.15</v>
      </c>
      <c r="E328" s="1066">
        <v>0.15</v>
      </c>
      <c r="F328" s="1067">
        <v>0.14099999999999999</v>
      </c>
    </row>
    <row r="329" spans="1:6" ht="14.25" thickBot="1">
      <c r="A329" s="840" t="s">
        <v>1007</v>
      </c>
      <c r="B329" s="834" t="s">
        <v>319</v>
      </c>
      <c r="C329" s="1066">
        <v>0.15</v>
      </c>
      <c r="D329" s="1066">
        <v>0.15</v>
      </c>
      <c r="E329" s="1066">
        <v>0.15</v>
      </c>
      <c r="F329" s="1067">
        <v>0.15</v>
      </c>
    </row>
    <row r="330" spans="1:6" ht="14.25" thickBot="1">
      <c r="A330" s="840" t="s">
        <v>1007</v>
      </c>
      <c r="B330" s="834" t="s">
        <v>330</v>
      </c>
      <c r="C330" s="1066">
        <v>0.15</v>
      </c>
      <c r="D330" s="1066">
        <v>0.15</v>
      </c>
      <c r="E330" s="1066">
        <v>0.15</v>
      </c>
      <c r="F330" s="1078"/>
    </row>
    <row r="331" spans="1:6" ht="14.25" thickBot="1">
      <c r="A331" s="840" t="s">
        <v>1007</v>
      </c>
      <c r="B331" s="834" t="s">
        <v>1017</v>
      </c>
      <c r="C331" s="1066">
        <v>0.15</v>
      </c>
      <c r="D331" s="1066">
        <v>0.15</v>
      </c>
      <c r="E331" s="1066">
        <v>0.15</v>
      </c>
      <c r="F331" s="1067">
        <v>0.15</v>
      </c>
    </row>
    <row r="332" spans="1:6" ht="14.25" thickBot="1">
      <c r="A332" s="840" t="s">
        <v>1007</v>
      </c>
      <c r="B332" s="834" t="s">
        <v>351</v>
      </c>
      <c r="C332" s="1066">
        <v>0.15</v>
      </c>
      <c r="D332" s="1066">
        <v>0.15</v>
      </c>
      <c r="E332" s="1066">
        <v>0.15</v>
      </c>
      <c r="F332" s="1067">
        <v>0.15</v>
      </c>
    </row>
    <row r="333" spans="1:6" ht="14.25" thickBot="1">
      <c r="A333" s="840" t="s">
        <v>1007</v>
      </c>
      <c r="B333" s="834" t="s">
        <v>1018</v>
      </c>
      <c r="C333" s="1066">
        <v>0.15</v>
      </c>
      <c r="D333" s="1066">
        <v>0.15</v>
      </c>
      <c r="E333" s="1066">
        <v>0.15</v>
      </c>
      <c r="F333" s="1067">
        <v>0.14099999999999999</v>
      </c>
    </row>
    <row r="334" spans="1:6" ht="14.25" thickBot="1">
      <c r="A334" s="840" t="s">
        <v>1007</v>
      </c>
      <c r="B334" s="834" t="s">
        <v>371</v>
      </c>
      <c r="C334" s="1066">
        <v>0.15</v>
      </c>
      <c r="D334" s="1066">
        <v>0.15</v>
      </c>
      <c r="E334" s="1066">
        <v>0.15</v>
      </c>
      <c r="F334" s="1067">
        <v>0.15</v>
      </c>
    </row>
    <row r="335" spans="1:6" ht="14.25" thickBot="1">
      <c r="A335" s="840" t="s">
        <v>1007</v>
      </c>
      <c r="B335" s="834" t="s">
        <v>381</v>
      </c>
      <c r="C335" s="1066">
        <v>0.15</v>
      </c>
      <c r="D335" s="1066">
        <v>0.15</v>
      </c>
      <c r="E335" s="1066">
        <v>0.15</v>
      </c>
      <c r="F335" s="1078"/>
    </row>
    <row r="336" spans="1:6" ht="14.25" thickBot="1">
      <c r="A336" s="840" t="s">
        <v>1007</v>
      </c>
      <c r="B336" s="834" t="s">
        <v>1019</v>
      </c>
      <c r="C336" s="1066">
        <v>0.15</v>
      </c>
      <c r="D336" s="1066">
        <v>0.15</v>
      </c>
      <c r="E336" s="1066">
        <v>0.15</v>
      </c>
      <c r="F336" s="1067">
        <v>0.11799999999999999</v>
      </c>
    </row>
    <row r="337" spans="1:6" ht="14.25" thickBot="1">
      <c r="A337" s="850" t="s">
        <v>1007</v>
      </c>
      <c r="B337" s="846" t="s">
        <v>399</v>
      </c>
      <c r="C337" s="1076"/>
      <c r="D337" s="1076"/>
      <c r="E337" s="1076"/>
      <c r="F337" s="1069">
        <v>0.14299999999999999</v>
      </c>
    </row>
    <row r="338" spans="1:6" ht="14.25" thickBot="1">
      <c r="A338" s="840" t="s">
        <v>1020</v>
      </c>
      <c r="B338" s="841" t="s">
        <v>1021</v>
      </c>
      <c r="C338" s="1064">
        <v>0.15</v>
      </c>
      <c r="D338" s="1064">
        <v>0.15</v>
      </c>
      <c r="E338" s="1064">
        <v>0.15</v>
      </c>
      <c r="F338" s="1081"/>
    </row>
    <row r="339" spans="1:6" ht="14.25" thickBot="1">
      <c r="A339" s="840" t="s">
        <v>1020</v>
      </c>
      <c r="B339" s="834" t="s">
        <v>1022</v>
      </c>
      <c r="C339" s="1066">
        <v>0.15</v>
      </c>
      <c r="D339" s="1066">
        <v>0.15</v>
      </c>
      <c r="E339" s="1066">
        <v>0.15</v>
      </c>
      <c r="F339" s="1078"/>
    </row>
    <row r="340" spans="1:6" ht="14.25" thickBot="1">
      <c r="A340" s="840" t="s">
        <v>1020</v>
      </c>
      <c r="B340" s="834" t="s">
        <v>1023</v>
      </c>
      <c r="C340" s="1066">
        <v>0.15</v>
      </c>
      <c r="D340" s="1066">
        <v>0.15</v>
      </c>
      <c r="E340" s="1066">
        <v>0.15</v>
      </c>
      <c r="F340" s="1078"/>
    </row>
    <row r="341" spans="1:6" ht="14.25" thickBot="1">
      <c r="A341" s="840" t="s">
        <v>1020</v>
      </c>
      <c r="B341" s="834" t="s">
        <v>1024</v>
      </c>
      <c r="C341" s="1066">
        <v>0.15</v>
      </c>
      <c r="D341" s="1066">
        <v>0.15</v>
      </c>
      <c r="E341" s="1066">
        <v>0.15</v>
      </c>
      <c r="F341" s="1067">
        <v>0.15</v>
      </c>
    </row>
    <row r="342" spans="1:6" ht="14.25" thickBot="1">
      <c r="A342" s="840" t="s">
        <v>1020</v>
      </c>
      <c r="B342" s="834" t="s">
        <v>1025</v>
      </c>
      <c r="C342" s="1066">
        <v>0.15</v>
      </c>
      <c r="D342" s="1066">
        <v>0.15</v>
      </c>
      <c r="E342" s="1066">
        <v>0.15</v>
      </c>
      <c r="F342" s="1067">
        <v>0.15</v>
      </c>
    </row>
    <row r="343" spans="1:6" ht="14.25" thickBot="1">
      <c r="A343" s="840" t="s">
        <v>1020</v>
      </c>
      <c r="B343" s="834" t="s">
        <v>1026</v>
      </c>
      <c r="C343" s="1066">
        <v>0.15</v>
      </c>
      <c r="D343" s="1066">
        <v>0.15</v>
      </c>
      <c r="E343" s="1066">
        <v>0.15</v>
      </c>
      <c r="F343" s="1067">
        <v>0.15</v>
      </c>
    </row>
    <row r="344" spans="1:6" ht="14.25" thickBot="1">
      <c r="A344" s="850" t="s">
        <v>1020</v>
      </c>
      <c r="B344" s="846"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1299</v>
      </c>
      <c r="C1" s="1696">
        <f>项目基本情况!D3</f>
        <v>43245</v>
      </c>
      <c r="D1" s="1702" t="s">
        <v>1300</v>
      </c>
      <c r="E1" s="1697">
        <f>'数据-取费表'!B22</f>
        <v>1</v>
      </c>
      <c r="F1" s="1702" t="s">
        <v>1301</v>
      </c>
      <c r="G1" s="1698">
        <f ca="1">INDIRECT("d"&amp;$K$1)/100</f>
        <v>4.3499999999999997E-2</v>
      </c>
      <c r="H1" s="1702" t="s">
        <v>1331</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1302</v>
      </c>
      <c r="E2" s="1638"/>
      <c r="F2" s="1638" t="s">
        <v>1303</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1304</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1305</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1306</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1307</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1308</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1309</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1310</v>
      </c>
      <c r="C10" s="1666"/>
      <c r="D10" s="1666"/>
      <c r="E10" s="1666"/>
      <c r="F10" s="1666"/>
      <c r="G10" s="1666"/>
      <c r="H10" s="1666"/>
      <c r="I10" s="1640"/>
      <c r="J10" s="1640"/>
      <c r="K10" s="1666"/>
      <c r="L10" s="1667" t="s">
        <v>1311</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1312</v>
      </c>
      <c r="C11" s="1671" t="s">
        <v>1313</v>
      </c>
      <c r="D11" s="1672" t="s">
        <v>1314</v>
      </c>
      <c r="E11" s="1673"/>
      <c r="F11" s="1672" t="s">
        <v>1315</v>
      </c>
      <c r="G11" s="1674"/>
      <c r="H11" s="1673"/>
      <c r="I11" s="1672" t="s">
        <v>1316</v>
      </c>
      <c r="J11" s="1673"/>
      <c r="K11" s="1669"/>
      <c r="L11" s="1670" t="s">
        <v>1312</v>
      </c>
      <c r="M11" s="1671" t="s">
        <v>1313</v>
      </c>
      <c r="N11" s="1670" t="s">
        <v>1317</v>
      </c>
      <c r="O11" s="1672" t="s">
        <v>1318</v>
      </c>
      <c r="P11" s="1674"/>
      <c r="Q11" s="1674"/>
      <c r="R11" s="1674"/>
      <c r="S11" s="1674"/>
      <c r="T11" s="1673"/>
      <c r="U11" s="1672" t="s">
        <v>1319</v>
      </c>
      <c r="V11" s="1674"/>
      <c r="W11" s="1673"/>
      <c r="X11" s="1670" t="s">
        <v>1320</v>
      </c>
      <c r="Y11" s="1670" t="s">
        <v>1321</v>
      </c>
      <c r="Z11" s="1670" t="s">
        <v>1322</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1323</v>
      </c>
      <c r="E12" s="1679" t="s">
        <v>1324</v>
      </c>
      <c r="F12" s="1679" t="s">
        <v>1325</v>
      </c>
      <c r="G12" s="1679" t="s">
        <v>1326</v>
      </c>
      <c r="H12" s="1679" t="s">
        <v>1308</v>
      </c>
      <c r="I12" s="1680" t="s">
        <v>1327</v>
      </c>
      <c r="J12" s="1680" t="s">
        <v>1327</v>
      </c>
      <c r="K12" s="1676"/>
      <c r="L12" s="1677"/>
      <c r="M12" s="1678"/>
      <c r="N12" s="1677"/>
      <c r="O12" s="1680" t="s">
        <v>1328</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1329</v>
      </c>
      <c r="C13" s="1684">
        <v>42301</v>
      </c>
      <c r="D13" s="1685">
        <v>4.3499999999999996</v>
      </c>
      <c r="E13" s="1685">
        <v>4.3499999999999996</v>
      </c>
      <c r="F13" s="1685">
        <v>4.75</v>
      </c>
      <c r="G13" s="1685">
        <v>4.75</v>
      </c>
      <c r="H13" s="1685">
        <v>4.9000000000000004</v>
      </c>
      <c r="I13" s="1685">
        <v>2.75</v>
      </c>
      <c r="J13" s="1685">
        <v>3.25</v>
      </c>
      <c r="K13" s="1682"/>
      <c r="L13" s="1683" t="s">
        <v>1329</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1330</v>
      </c>
      <c r="Y42" s="1689" t="s">
        <v>1330</v>
      </c>
      <c r="Z42" s="1689" t="s">
        <v>1330</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1330</v>
      </c>
      <c r="Y43" s="1689" t="s">
        <v>1330</v>
      </c>
      <c r="Z43" s="1689" t="s">
        <v>1330</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1330</v>
      </c>
      <c r="Y44" s="1689" t="s">
        <v>1330</v>
      </c>
      <c r="Z44" s="1689" t="s">
        <v>1330</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1330</v>
      </c>
      <c r="Y45" s="1689" t="s">
        <v>1330</v>
      </c>
      <c r="Z45" s="1689" t="s">
        <v>1330</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1330</v>
      </c>
      <c r="Y46" s="1689" t="s">
        <v>1330</v>
      </c>
      <c r="Z46" s="1689" t="s">
        <v>1330</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1330</v>
      </c>
      <c r="Y47" s="1689" t="s">
        <v>1330</v>
      </c>
      <c r="Z47" s="1689" t="s">
        <v>1330</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1330</v>
      </c>
      <c r="Y48" s="1689" t="s">
        <v>1330</v>
      </c>
      <c r="Z48" s="1689" t="s">
        <v>1330</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1330</v>
      </c>
      <c r="Y49" s="1689" t="s">
        <v>1330</v>
      </c>
      <c r="Z49" s="1689" t="s">
        <v>1330</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1330</v>
      </c>
      <c r="Y50" s="1689" t="s">
        <v>1330</v>
      </c>
      <c r="Z50" s="1689" t="s">
        <v>1330</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1330</v>
      </c>
      <c r="V51" s="1689" t="s">
        <v>1330</v>
      </c>
      <c r="W51" s="1689" t="s">
        <v>1330</v>
      </c>
      <c r="X51" s="1689" t="s">
        <v>1330</v>
      </c>
      <c r="Y51" s="1689" t="s">
        <v>1330</v>
      </c>
      <c r="Z51" s="1689" t="s">
        <v>1330</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1330</v>
      </c>
      <c r="J55" s="1689" t="s">
        <v>1330</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26</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A60" workbookViewId="0">
      <selection activeCell="A12" sqref="A12"/>
    </sheetView>
  </sheetViews>
  <sheetFormatPr defaultRowHeight="13.5"/>
  <cols>
    <col min="1" max="1" width="47.625" style="1637" customWidth="1"/>
    <col min="2" max="2" width="6.25" style="1637" customWidth="1"/>
    <col min="3" max="3" width="7.875" style="1637" customWidth="1"/>
    <col min="4" max="5" width="13.875" style="1637" customWidth="1"/>
    <col min="6" max="6" width="6.5" style="1637" customWidth="1"/>
    <col min="7" max="7" width="7.875" style="1637" customWidth="1"/>
    <col min="8" max="8" width="9" style="1637" customWidth="1"/>
    <col min="9" max="11" width="10.625" style="1637" customWidth="1"/>
    <col min="12" max="12" width="14.375" style="1637" customWidth="1"/>
    <col min="13" max="13" width="6.25" style="1637" customWidth="1"/>
    <col min="14" max="14" width="29.375" style="1637" customWidth="1"/>
    <col min="15" max="256" width="9" style="1637"/>
    <col min="257" max="257" width="47.625" style="1637" customWidth="1"/>
    <col min="258" max="258" width="6.25" style="1637" customWidth="1"/>
    <col min="259" max="259" width="7.875" style="1637" customWidth="1"/>
    <col min="260" max="261" width="13.875" style="1637" customWidth="1"/>
    <col min="262" max="262" width="6.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29.375" style="1637" customWidth="1"/>
    <col min="271" max="512" width="9" style="1637"/>
    <col min="513" max="513" width="47.625" style="1637" customWidth="1"/>
    <col min="514" max="514" width="6.25" style="1637" customWidth="1"/>
    <col min="515" max="515" width="7.875" style="1637" customWidth="1"/>
    <col min="516" max="517" width="13.875" style="1637" customWidth="1"/>
    <col min="518" max="518" width="6.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29.375" style="1637" customWidth="1"/>
    <col min="527" max="768" width="9" style="1637"/>
    <col min="769" max="769" width="47.625" style="1637" customWidth="1"/>
    <col min="770" max="770" width="6.25" style="1637" customWidth="1"/>
    <col min="771" max="771" width="7.875" style="1637" customWidth="1"/>
    <col min="772" max="773" width="13.875" style="1637" customWidth="1"/>
    <col min="774" max="774" width="6.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29.375" style="1637" customWidth="1"/>
    <col min="783" max="1024" width="9" style="1637"/>
    <col min="1025" max="1025" width="47.625" style="1637" customWidth="1"/>
    <col min="1026" max="1026" width="6.25" style="1637" customWidth="1"/>
    <col min="1027" max="1027" width="7.875" style="1637" customWidth="1"/>
    <col min="1028" max="1029" width="13.875" style="1637" customWidth="1"/>
    <col min="1030" max="1030" width="6.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29.375" style="1637" customWidth="1"/>
    <col min="1039" max="1280" width="9" style="1637"/>
    <col min="1281" max="1281" width="47.625" style="1637" customWidth="1"/>
    <col min="1282" max="1282" width="6.25" style="1637" customWidth="1"/>
    <col min="1283" max="1283" width="7.875" style="1637" customWidth="1"/>
    <col min="1284" max="1285" width="13.875" style="1637" customWidth="1"/>
    <col min="1286" max="1286" width="6.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29.375" style="1637" customWidth="1"/>
    <col min="1295" max="1536" width="9" style="1637"/>
    <col min="1537" max="1537" width="47.625" style="1637" customWidth="1"/>
    <col min="1538" max="1538" width="6.25" style="1637" customWidth="1"/>
    <col min="1539" max="1539" width="7.875" style="1637" customWidth="1"/>
    <col min="1540" max="1541" width="13.875" style="1637" customWidth="1"/>
    <col min="1542" max="1542" width="6.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29.375" style="1637" customWidth="1"/>
    <col min="1551" max="1792" width="9" style="1637"/>
    <col min="1793" max="1793" width="47.625" style="1637" customWidth="1"/>
    <col min="1794" max="1794" width="6.25" style="1637" customWidth="1"/>
    <col min="1795" max="1795" width="7.875" style="1637" customWidth="1"/>
    <col min="1796" max="1797" width="13.875" style="1637" customWidth="1"/>
    <col min="1798" max="1798" width="6.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29.375" style="1637" customWidth="1"/>
    <col min="1807" max="2048" width="9" style="1637"/>
    <col min="2049" max="2049" width="47.625" style="1637" customWidth="1"/>
    <col min="2050" max="2050" width="6.25" style="1637" customWidth="1"/>
    <col min="2051" max="2051" width="7.875" style="1637" customWidth="1"/>
    <col min="2052" max="2053" width="13.875" style="1637" customWidth="1"/>
    <col min="2054" max="2054" width="6.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29.375" style="1637" customWidth="1"/>
    <col min="2063" max="2304" width="9" style="1637"/>
    <col min="2305" max="2305" width="47.625" style="1637" customWidth="1"/>
    <col min="2306" max="2306" width="6.25" style="1637" customWidth="1"/>
    <col min="2307" max="2307" width="7.875" style="1637" customWidth="1"/>
    <col min="2308" max="2309" width="13.875" style="1637" customWidth="1"/>
    <col min="2310" max="2310" width="6.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29.375" style="1637" customWidth="1"/>
    <col min="2319" max="2560" width="9" style="1637"/>
    <col min="2561" max="2561" width="47.625" style="1637" customWidth="1"/>
    <col min="2562" max="2562" width="6.25" style="1637" customWidth="1"/>
    <col min="2563" max="2563" width="7.875" style="1637" customWidth="1"/>
    <col min="2564" max="2565" width="13.875" style="1637" customWidth="1"/>
    <col min="2566" max="2566" width="6.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29.375" style="1637" customWidth="1"/>
    <col min="2575" max="2816" width="9" style="1637"/>
    <col min="2817" max="2817" width="47.625" style="1637" customWidth="1"/>
    <col min="2818" max="2818" width="6.25" style="1637" customWidth="1"/>
    <col min="2819" max="2819" width="7.875" style="1637" customWidth="1"/>
    <col min="2820" max="2821" width="13.875" style="1637" customWidth="1"/>
    <col min="2822" max="2822" width="6.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29.375" style="1637" customWidth="1"/>
    <col min="2831" max="3072" width="9" style="1637"/>
    <col min="3073" max="3073" width="47.625" style="1637" customWidth="1"/>
    <col min="3074" max="3074" width="6.25" style="1637" customWidth="1"/>
    <col min="3075" max="3075" width="7.875" style="1637" customWidth="1"/>
    <col min="3076" max="3077" width="13.875" style="1637" customWidth="1"/>
    <col min="3078" max="3078" width="6.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29.375" style="1637" customWidth="1"/>
    <col min="3087" max="3328" width="9" style="1637"/>
    <col min="3329" max="3329" width="47.625" style="1637" customWidth="1"/>
    <col min="3330" max="3330" width="6.25" style="1637" customWidth="1"/>
    <col min="3331" max="3331" width="7.875" style="1637" customWidth="1"/>
    <col min="3332" max="3333" width="13.875" style="1637" customWidth="1"/>
    <col min="3334" max="3334" width="6.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29.375" style="1637" customWidth="1"/>
    <col min="3343" max="3584" width="9" style="1637"/>
    <col min="3585" max="3585" width="47.625" style="1637" customWidth="1"/>
    <col min="3586" max="3586" width="6.25" style="1637" customWidth="1"/>
    <col min="3587" max="3587" width="7.875" style="1637" customWidth="1"/>
    <col min="3588" max="3589" width="13.875" style="1637" customWidth="1"/>
    <col min="3590" max="3590" width="6.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29.375" style="1637" customWidth="1"/>
    <col min="3599" max="3840" width="9" style="1637"/>
    <col min="3841" max="3841" width="47.625" style="1637" customWidth="1"/>
    <col min="3842" max="3842" width="6.25" style="1637" customWidth="1"/>
    <col min="3843" max="3843" width="7.875" style="1637" customWidth="1"/>
    <col min="3844" max="3845" width="13.875" style="1637" customWidth="1"/>
    <col min="3846" max="3846" width="6.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29.375" style="1637" customWidth="1"/>
    <col min="3855" max="4096" width="9" style="1637"/>
    <col min="4097" max="4097" width="47.625" style="1637" customWidth="1"/>
    <col min="4098" max="4098" width="6.25" style="1637" customWidth="1"/>
    <col min="4099" max="4099" width="7.875" style="1637" customWidth="1"/>
    <col min="4100" max="4101" width="13.875" style="1637" customWidth="1"/>
    <col min="4102" max="4102" width="6.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29.375" style="1637" customWidth="1"/>
    <col min="4111" max="4352" width="9" style="1637"/>
    <col min="4353" max="4353" width="47.625" style="1637" customWidth="1"/>
    <col min="4354" max="4354" width="6.25" style="1637" customWidth="1"/>
    <col min="4355" max="4355" width="7.875" style="1637" customWidth="1"/>
    <col min="4356" max="4357" width="13.875" style="1637" customWidth="1"/>
    <col min="4358" max="4358" width="6.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29.375" style="1637" customWidth="1"/>
    <col min="4367" max="4608" width="9" style="1637"/>
    <col min="4609" max="4609" width="47.625" style="1637" customWidth="1"/>
    <col min="4610" max="4610" width="6.25" style="1637" customWidth="1"/>
    <col min="4611" max="4611" width="7.875" style="1637" customWidth="1"/>
    <col min="4612" max="4613" width="13.875" style="1637" customWidth="1"/>
    <col min="4614" max="4614" width="6.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29.375" style="1637" customWidth="1"/>
    <col min="4623" max="4864" width="9" style="1637"/>
    <col min="4865" max="4865" width="47.625" style="1637" customWidth="1"/>
    <col min="4866" max="4866" width="6.25" style="1637" customWidth="1"/>
    <col min="4867" max="4867" width="7.875" style="1637" customWidth="1"/>
    <col min="4868" max="4869" width="13.875" style="1637" customWidth="1"/>
    <col min="4870" max="4870" width="6.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29.375" style="1637" customWidth="1"/>
    <col min="4879" max="5120" width="9" style="1637"/>
    <col min="5121" max="5121" width="47.625" style="1637" customWidth="1"/>
    <col min="5122" max="5122" width="6.25" style="1637" customWidth="1"/>
    <col min="5123" max="5123" width="7.875" style="1637" customWidth="1"/>
    <col min="5124" max="5125" width="13.875" style="1637" customWidth="1"/>
    <col min="5126" max="5126" width="6.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29.375" style="1637" customWidth="1"/>
    <col min="5135" max="5376" width="9" style="1637"/>
    <col min="5377" max="5377" width="47.625" style="1637" customWidth="1"/>
    <col min="5378" max="5378" width="6.25" style="1637" customWidth="1"/>
    <col min="5379" max="5379" width="7.875" style="1637" customWidth="1"/>
    <col min="5380" max="5381" width="13.875" style="1637" customWidth="1"/>
    <col min="5382" max="5382" width="6.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29.375" style="1637" customWidth="1"/>
    <col min="5391" max="5632" width="9" style="1637"/>
    <col min="5633" max="5633" width="47.625" style="1637" customWidth="1"/>
    <col min="5634" max="5634" width="6.25" style="1637" customWidth="1"/>
    <col min="5635" max="5635" width="7.875" style="1637" customWidth="1"/>
    <col min="5636" max="5637" width="13.875" style="1637" customWidth="1"/>
    <col min="5638" max="5638" width="6.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29.375" style="1637" customWidth="1"/>
    <col min="5647" max="5888" width="9" style="1637"/>
    <col min="5889" max="5889" width="47.625" style="1637" customWidth="1"/>
    <col min="5890" max="5890" width="6.25" style="1637" customWidth="1"/>
    <col min="5891" max="5891" width="7.875" style="1637" customWidth="1"/>
    <col min="5892" max="5893" width="13.875" style="1637" customWidth="1"/>
    <col min="5894" max="5894" width="6.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29.375" style="1637" customWidth="1"/>
    <col min="5903" max="6144" width="9" style="1637"/>
    <col min="6145" max="6145" width="47.625" style="1637" customWidth="1"/>
    <col min="6146" max="6146" width="6.25" style="1637" customWidth="1"/>
    <col min="6147" max="6147" width="7.875" style="1637" customWidth="1"/>
    <col min="6148" max="6149" width="13.875" style="1637" customWidth="1"/>
    <col min="6150" max="6150" width="6.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29.375" style="1637" customWidth="1"/>
    <col min="6159" max="6400" width="9" style="1637"/>
    <col min="6401" max="6401" width="47.625" style="1637" customWidth="1"/>
    <col min="6402" max="6402" width="6.25" style="1637" customWidth="1"/>
    <col min="6403" max="6403" width="7.875" style="1637" customWidth="1"/>
    <col min="6404" max="6405" width="13.875" style="1637" customWidth="1"/>
    <col min="6406" max="6406" width="6.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29.375" style="1637" customWidth="1"/>
    <col min="6415" max="6656" width="9" style="1637"/>
    <col min="6657" max="6657" width="47.625" style="1637" customWidth="1"/>
    <col min="6658" max="6658" width="6.25" style="1637" customWidth="1"/>
    <col min="6659" max="6659" width="7.875" style="1637" customWidth="1"/>
    <col min="6660" max="6661" width="13.875" style="1637" customWidth="1"/>
    <col min="6662" max="6662" width="6.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29.375" style="1637" customWidth="1"/>
    <col min="6671" max="6912" width="9" style="1637"/>
    <col min="6913" max="6913" width="47.625" style="1637" customWidth="1"/>
    <col min="6914" max="6914" width="6.25" style="1637" customWidth="1"/>
    <col min="6915" max="6915" width="7.875" style="1637" customWidth="1"/>
    <col min="6916" max="6917" width="13.875" style="1637" customWidth="1"/>
    <col min="6918" max="6918" width="6.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29.375" style="1637" customWidth="1"/>
    <col min="6927" max="7168" width="9" style="1637"/>
    <col min="7169" max="7169" width="47.625" style="1637" customWidth="1"/>
    <col min="7170" max="7170" width="6.25" style="1637" customWidth="1"/>
    <col min="7171" max="7171" width="7.875" style="1637" customWidth="1"/>
    <col min="7172" max="7173" width="13.875" style="1637" customWidth="1"/>
    <col min="7174" max="7174" width="6.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29.375" style="1637" customWidth="1"/>
    <col min="7183" max="7424" width="9" style="1637"/>
    <col min="7425" max="7425" width="47.625" style="1637" customWidth="1"/>
    <col min="7426" max="7426" width="6.25" style="1637" customWidth="1"/>
    <col min="7427" max="7427" width="7.875" style="1637" customWidth="1"/>
    <col min="7428" max="7429" width="13.875" style="1637" customWidth="1"/>
    <col min="7430" max="7430" width="6.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29.375" style="1637" customWidth="1"/>
    <col min="7439" max="7680" width="9" style="1637"/>
    <col min="7681" max="7681" width="47.625" style="1637" customWidth="1"/>
    <col min="7682" max="7682" width="6.25" style="1637" customWidth="1"/>
    <col min="7683" max="7683" width="7.875" style="1637" customWidth="1"/>
    <col min="7684" max="7685" width="13.875" style="1637" customWidth="1"/>
    <col min="7686" max="7686" width="6.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29.375" style="1637" customWidth="1"/>
    <col min="7695" max="7936" width="9" style="1637"/>
    <col min="7937" max="7937" width="47.625" style="1637" customWidth="1"/>
    <col min="7938" max="7938" width="6.25" style="1637" customWidth="1"/>
    <col min="7939" max="7939" width="7.875" style="1637" customWidth="1"/>
    <col min="7940" max="7941" width="13.875" style="1637" customWidth="1"/>
    <col min="7942" max="7942" width="6.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29.375" style="1637" customWidth="1"/>
    <col min="7951" max="8192" width="9" style="1637"/>
    <col min="8193" max="8193" width="47.625" style="1637" customWidth="1"/>
    <col min="8194" max="8194" width="6.25" style="1637" customWidth="1"/>
    <col min="8195" max="8195" width="7.875" style="1637" customWidth="1"/>
    <col min="8196" max="8197" width="13.875" style="1637" customWidth="1"/>
    <col min="8198" max="8198" width="6.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29.375" style="1637" customWidth="1"/>
    <col min="8207" max="8448" width="9" style="1637"/>
    <col min="8449" max="8449" width="47.625" style="1637" customWidth="1"/>
    <col min="8450" max="8450" width="6.25" style="1637" customWidth="1"/>
    <col min="8451" max="8451" width="7.875" style="1637" customWidth="1"/>
    <col min="8452" max="8453" width="13.875" style="1637" customWidth="1"/>
    <col min="8454" max="8454" width="6.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29.375" style="1637" customWidth="1"/>
    <col min="8463" max="8704" width="9" style="1637"/>
    <col min="8705" max="8705" width="47.625" style="1637" customWidth="1"/>
    <col min="8706" max="8706" width="6.25" style="1637" customWidth="1"/>
    <col min="8707" max="8707" width="7.875" style="1637" customWidth="1"/>
    <col min="8708" max="8709" width="13.875" style="1637" customWidth="1"/>
    <col min="8710" max="8710" width="6.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29.375" style="1637" customWidth="1"/>
    <col min="8719" max="8960" width="9" style="1637"/>
    <col min="8961" max="8961" width="47.625" style="1637" customWidth="1"/>
    <col min="8962" max="8962" width="6.25" style="1637" customWidth="1"/>
    <col min="8963" max="8963" width="7.875" style="1637" customWidth="1"/>
    <col min="8964" max="8965" width="13.875" style="1637" customWidth="1"/>
    <col min="8966" max="8966" width="6.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29.375" style="1637" customWidth="1"/>
    <col min="8975" max="9216" width="9" style="1637"/>
    <col min="9217" max="9217" width="47.625" style="1637" customWidth="1"/>
    <col min="9218" max="9218" width="6.25" style="1637" customWidth="1"/>
    <col min="9219" max="9219" width="7.875" style="1637" customWidth="1"/>
    <col min="9220" max="9221" width="13.875" style="1637" customWidth="1"/>
    <col min="9222" max="9222" width="6.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29.375" style="1637" customWidth="1"/>
    <col min="9231" max="9472" width="9" style="1637"/>
    <col min="9473" max="9473" width="47.625" style="1637" customWidth="1"/>
    <col min="9474" max="9474" width="6.25" style="1637" customWidth="1"/>
    <col min="9475" max="9475" width="7.875" style="1637" customWidth="1"/>
    <col min="9476" max="9477" width="13.875" style="1637" customWidth="1"/>
    <col min="9478" max="9478" width="6.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29.375" style="1637" customWidth="1"/>
    <col min="9487" max="9728" width="9" style="1637"/>
    <col min="9729" max="9729" width="47.625" style="1637" customWidth="1"/>
    <col min="9730" max="9730" width="6.25" style="1637" customWidth="1"/>
    <col min="9731" max="9731" width="7.875" style="1637" customWidth="1"/>
    <col min="9732" max="9733" width="13.875" style="1637" customWidth="1"/>
    <col min="9734" max="9734" width="6.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29.375" style="1637" customWidth="1"/>
    <col min="9743" max="9984" width="9" style="1637"/>
    <col min="9985" max="9985" width="47.625" style="1637" customWidth="1"/>
    <col min="9986" max="9986" width="6.25" style="1637" customWidth="1"/>
    <col min="9987" max="9987" width="7.875" style="1637" customWidth="1"/>
    <col min="9988" max="9989" width="13.875" style="1637" customWidth="1"/>
    <col min="9990" max="9990" width="6.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29.375" style="1637" customWidth="1"/>
    <col min="9999" max="10240" width="9" style="1637"/>
    <col min="10241" max="10241" width="47.625" style="1637" customWidth="1"/>
    <col min="10242" max="10242" width="6.25" style="1637" customWidth="1"/>
    <col min="10243" max="10243" width="7.875" style="1637" customWidth="1"/>
    <col min="10244" max="10245" width="13.875" style="1637" customWidth="1"/>
    <col min="10246" max="10246" width="6.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29.375" style="1637" customWidth="1"/>
    <col min="10255" max="10496" width="9" style="1637"/>
    <col min="10497" max="10497" width="47.625" style="1637" customWidth="1"/>
    <col min="10498" max="10498" width="6.25" style="1637" customWidth="1"/>
    <col min="10499" max="10499" width="7.875" style="1637" customWidth="1"/>
    <col min="10500" max="10501" width="13.875" style="1637" customWidth="1"/>
    <col min="10502" max="10502" width="6.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29.375" style="1637" customWidth="1"/>
    <col min="10511" max="10752" width="9" style="1637"/>
    <col min="10753" max="10753" width="47.625" style="1637" customWidth="1"/>
    <col min="10754" max="10754" width="6.25" style="1637" customWidth="1"/>
    <col min="10755" max="10755" width="7.875" style="1637" customWidth="1"/>
    <col min="10756" max="10757" width="13.875" style="1637" customWidth="1"/>
    <col min="10758" max="10758" width="6.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29.375" style="1637" customWidth="1"/>
    <col min="10767" max="11008" width="9" style="1637"/>
    <col min="11009" max="11009" width="47.625" style="1637" customWidth="1"/>
    <col min="11010" max="11010" width="6.25" style="1637" customWidth="1"/>
    <col min="11011" max="11011" width="7.875" style="1637" customWidth="1"/>
    <col min="11012" max="11013" width="13.875" style="1637" customWidth="1"/>
    <col min="11014" max="11014" width="6.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29.375" style="1637" customWidth="1"/>
    <col min="11023" max="11264" width="9" style="1637"/>
    <col min="11265" max="11265" width="47.625" style="1637" customWidth="1"/>
    <col min="11266" max="11266" width="6.25" style="1637" customWidth="1"/>
    <col min="11267" max="11267" width="7.875" style="1637" customWidth="1"/>
    <col min="11268" max="11269" width="13.875" style="1637" customWidth="1"/>
    <col min="11270" max="11270" width="6.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29.375" style="1637" customWidth="1"/>
    <col min="11279" max="11520" width="9" style="1637"/>
    <col min="11521" max="11521" width="47.625" style="1637" customWidth="1"/>
    <col min="11522" max="11522" width="6.25" style="1637" customWidth="1"/>
    <col min="11523" max="11523" width="7.875" style="1637" customWidth="1"/>
    <col min="11524" max="11525" width="13.875" style="1637" customWidth="1"/>
    <col min="11526" max="11526" width="6.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29.375" style="1637" customWidth="1"/>
    <col min="11535" max="11776" width="9" style="1637"/>
    <col min="11777" max="11777" width="47.625" style="1637" customWidth="1"/>
    <col min="11778" max="11778" width="6.25" style="1637" customWidth="1"/>
    <col min="11779" max="11779" width="7.875" style="1637" customWidth="1"/>
    <col min="11780" max="11781" width="13.875" style="1637" customWidth="1"/>
    <col min="11782" max="11782" width="6.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29.375" style="1637" customWidth="1"/>
    <col min="11791" max="12032" width="9" style="1637"/>
    <col min="12033" max="12033" width="47.625" style="1637" customWidth="1"/>
    <col min="12034" max="12034" width="6.25" style="1637" customWidth="1"/>
    <col min="12035" max="12035" width="7.875" style="1637" customWidth="1"/>
    <col min="12036" max="12037" width="13.875" style="1637" customWidth="1"/>
    <col min="12038" max="12038" width="6.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29.375" style="1637" customWidth="1"/>
    <col min="12047" max="12288" width="9" style="1637"/>
    <col min="12289" max="12289" width="47.625" style="1637" customWidth="1"/>
    <col min="12290" max="12290" width="6.25" style="1637" customWidth="1"/>
    <col min="12291" max="12291" width="7.875" style="1637" customWidth="1"/>
    <col min="12292" max="12293" width="13.875" style="1637" customWidth="1"/>
    <col min="12294" max="12294" width="6.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29.375" style="1637" customWidth="1"/>
    <col min="12303" max="12544" width="9" style="1637"/>
    <col min="12545" max="12545" width="47.625" style="1637" customWidth="1"/>
    <col min="12546" max="12546" width="6.25" style="1637" customWidth="1"/>
    <col min="12547" max="12547" width="7.875" style="1637" customWidth="1"/>
    <col min="12548" max="12549" width="13.875" style="1637" customWidth="1"/>
    <col min="12550" max="12550" width="6.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29.375" style="1637" customWidth="1"/>
    <col min="12559" max="12800" width="9" style="1637"/>
    <col min="12801" max="12801" width="47.625" style="1637" customWidth="1"/>
    <col min="12802" max="12802" width="6.25" style="1637" customWidth="1"/>
    <col min="12803" max="12803" width="7.875" style="1637" customWidth="1"/>
    <col min="12804" max="12805" width="13.875" style="1637" customWidth="1"/>
    <col min="12806" max="12806" width="6.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29.375" style="1637" customWidth="1"/>
    <col min="12815" max="13056" width="9" style="1637"/>
    <col min="13057" max="13057" width="47.625" style="1637" customWidth="1"/>
    <col min="13058" max="13058" width="6.25" style="1637" customWidth="1"/>
    <col min="13059" max="13059" width="7.875" style="1637" customWidth="1"/>
    <col min="13060" max="13061" width="13.875" style="1637" customWidth="1"/>
    <col min="13062" max="13062" width="6.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29.375" style="1637" customWidth="1"/>
    <col min="13071" max="13312" width="9" style="1637"/>
    <col min="13313" max="13313" width="47.625" style="1637" customWidth="1"/>
    <col min="13314" max="13314" width="6.25" style="1637" customWidth="1"/>
    <col min="13315" max="13315" width="7.875" style="1637" customWidth="1"/>
    <col min="13316" max="13317" width="13.875" style="1637" customWidth="1"/>
    <col min="13318" max="13318" width="6.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29.375" style="1637" customWidth="1"/>
    <col min="13327" max="13568" width="9" style="1637"/>
    <col min="13569" max="13569" width="47.625" style="1637" customWidth="1"/>
    <col min="13570" max="13570" width="6.25" style="1637" customWidth="1"/>
    <col min="13571" max="13571" width="7.875" style="1637" customWidth="1"/>
    <col min="13572" max="13573" width="13.875" style="1637" customWidth="1"/>
    <col min="13574" max="13574" width="6.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29.375" style="1637" customWidth="1"/>
    <col min="13583" max="13824" width="9" style="1637"/>
    <col min="13825" max="13825" width="47.625" style="1637" customWidth="1"/>
    <col min="13826" max="13826" width="6.25" style="1637" customWidth="1"/>
    <col min="13827" max="13827" width="7.875" style="1637" customWidth="1"/>
    <col min="13828" max="13829" width="13.875" style="1637" customWidth="1"/>
    <col min="13830" max="13830" width="6.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29.375" style="1637" customWidth="1"/>
    <col min="13839" max="14080" width="9" style="1637"/>
    <col min="14081" max="14081" width="47.625" style="1637" customWidth="1"/>
    <col min="14082" max="14082" width="6.25" style="1637" customWidth="1"/>
    <col min="14083" max="14083" width="7.875" style="1637" customWidth="1"/>
    <col min="14084" max="14085" width="13.875" style="1637" customWidth="1"/>
    <col min="14086" max="14086" width="6.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29.375" style="1637" customWidth="1"/>
    <col min="14095" max="14336" width="9" style="1637"/>
    <col min="14337" max="14337" width="47.625" style="1637" customWidth="1"/>
    <col min="14338" max="14338" width="6.25" style="1637" customWidth="1"/>
    <col min="14339" max="14339" width="7.875" style="1637" customWidth="1"/>
    <col min="14340" max="14341" width="13.875" style="1637" customWidth="1"/>
    <col min="14342" max="14342" width="6.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29.375" style="1637" customWidth="1"/>
    <col min="14351" max="14592" width="9" style="1637"/>
    <col min="14593" max="14593" width="47.625" style="1637" customWidth="1"/>
    <col min="14594" max="14594" width="6.25" style="1637" customWidth="1"/>
    <col min="14595" max="14595" width="7.875" style="1637" customWidth="1"/>
    <col min="14596" max="14597" width="13.875" style="1637" customWidth="1"/>
    <col min="14598" max="14598" width="6.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29.375" style="1637" customWidth="1"/>
    <col min="14607" max="14848" width="9" style="1637"/>
    <col min="14849" max="14849" width="47.625" style="1637" customWidth="1"/>
    <col min="14850" max="14850" width="6.25" style="1637" customWidth="1"/>
    <col min="14851" max="14851" width="7.875" style="1637" customWidth="1"/>
    <col min="14852" max="14853" width="13.875" style="1637" customWidth="1"/>
    <col min="14854" max="14854" width="6.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29.375" style="1637" customWidth="1"/>
    <col min="14863" max="15104" width="9" style="1637"/>
    <col min="15105" max="15105" width="47.625" style="1637" customWidth="1"/>
    <col min="15106" max="15106" width="6.25" style="1637" customWidth="1"/>
    <col min="15107" max="15107" width="7.875" style="1637" customWidth="1"/>
    <col min="15108" max="15109" width="13.875" style="1637" customWidth="1"/>
    <col min="15110" max="15110" width="6.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29.375" style="1637" customWidth="1"/>
    <col min="15119" max="15360" width="9" style="1637"/>
    <col min="15361" max="15361" width="47.625" style="1637" customWidth="1"/>
    <col min="15362" max="15362" width="6.25" style="1637" customWidth="1"/>
    <col min="15363" max="15363" width="7.875" style="1637" customWidth="1"/>
    <col min="15364" max="15365" width="13.875" style="1637" customWidth="1"/>
    <col min="15366" max="15366" width="6.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29.375" style="1637" customWidth="1"/>
    <col min="15375" max="15616" width="9" style="1637"/>
    <col min="15617" max="15617" width="47.625" style="1637" customWidth="1"/>
    <col min="15618" max="15618" width="6.25" style="1637" customWidth="1"/>
    <col min="15619" max="15619" width="7.875" style="1637" customWidth="1"/>
    <col min="15620" max="15621" width="13.875" style="1637" customWidth="1"/>
    <col min="15622" max="15622" width="6.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29.375" style="1637" customWidth="1"/>
    <col min="15631" max="15872" width="9" style="1637"/>
    <col min="15873" max="15873" width="47.625" style="1637" customWidth="1"/>
    <col min="15874" max="15874" width="6.25" style="1637" customWidth="1"/>
    <col min="15875" max="15875" width="7.875" style="1637" customWidth="1"/>
    <col min="15876" max="15877" width="13.875" style="1637" customWidth="1"/>
    <col min="15878" max="15878" width="6.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29.375" style="1637" customWidth="1"/>
    <col min="15887" max="16128" width="9" style="1637"/>
    <col min="16129" max="16129" width="47.625" style="1637" customWidth="1"/>
    <col min="16130" max="16130" width="6.25" style="1637" customWidth="1"/>
    <col min="16131" max="16131" width="7.875" style="1637" customWidth="1"/>
    <col min="16132" max="16133" width="13.875" style="1637" customWidth="1"/>
    <col min="16134" max="16134" width="6.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29.375" style="1637" customWidth="1"/>
    <col min="16143" max="16384" width="9" style="1637"/>
  </cols>
  <sheetData>
    <row r="1" spans="1:14">
      <c r="A1" s="1637" t="s">
        <v>3009</v>
      </c>
      <c r="B1" s="1637" t="s">
        <v>3010</v>
      </c>
      <c r="C1" s="1637" t="s">
        <v>3011</v>
      </c>
      <c r="D1" s="1637" t="s">
        <v>3012</v>
      </c>
      <c r="E1" s="1637" t="s">
        <v>3013</v>
      </c>
      <c r="F1" s="1637" t="s">
        <v>3014</v>
      </c>
      <c r="G1" s="1637" t="s">
        <v>3015</v>
      </c>
      <c r="H1" s="1637" t="s">
        <v>3016</v>
      </c>
      <c r="I1" s="1637" t="s">
        <v>3017</v>
      </c>
      <c r="J1" s="1637" t="s">
        <v>3018</v>
      </c>
      <c r="L1" s="1637" t="s">
        <v>3019</v>
      </c>
      <c r="M1" s="1637" t="s">
        <v>3020</v>
      </c>
      <c r="N1" s="1637" t="s">
        <v>3021</v>
      </c>
    </row>
    <row r="2" spans="1:14">
      <c r="A2" s="1637" t="s">
        <v>3022</v>
      </c>
      <c r="B2" s="1637" t="s">
        <v>3023</v>
      </c>
      <c r="C2" s="1637" t="s">
        <v>3024</v>
      </c>
      <c r="D2" s="1637">
        <v>12894.05</v>
      </c>
      <c r="E2" s="1637">
        <v>25788.1</v>
      </c>
      <c r="F2" s="1637" t="s">
        <v>3025</v>
      </c>
      <c r="G2" s="1637" t="s">
        <v>3026</v>
      </c>
      <c r="H2" s="1637" t="s">
        <v>3027</v>
      </c>
      <c r="I2" s="1637">
        <v>640</v>
      </c>
      <c r="J2" s="1637">
        <v>720</v>
      </c>
      <c r="K2" s="1637">
        <f>J2/D2*10000</f>
        <v>558.39709013071922</v>
      </c>
      <c r="L2" s="1637">
        <v>279.19</v>
      </c>
      <c r="M2" s="1637">
        <v>12.5</v>
      </c>
      <c r="N2" s="1637" t="s">
        <v>3028</v>
      </c>
    </row>
    <row r="3" spans="1:14">
      <c r="A3" s="1637" t="s">
        <v>3029</v>
      </c>
      <c r="B3" s="1637" t="s">
        <v>3023</v>
      </c>
      <c r="C3" s="1637" t="s">
        <v>3024</v>
      </c>
      <c r="D3" s="1637">
        <v>13333.34</v>
      </c>
      <c r="E3" s="1637">
        <v>26666.68</v>
      </c>
      <c r="F3" s="1637" t="s">
        <v>3025</v>
      </c>
      <c r="G3" s="1637" t="s">
        <v>3026</v>
      </c>
      <c r="H3" s="1637" t="s">
        <v>3027</v>
      </c>
      <c r="I3" s="1637">
        <v>680</v>
      </c>
      <c r="J3" s="1637">
        <v>750</v>
      </c>
      <c r="K3" s="1637">
        <f t="shared" ref="K3:K47" si="0">J3/D3*10000</f>
        <v>562.49971875014069</v>
      </c>
      <c r="L3" s="1637">
        <v>281.25</v>
      </c>
      <c r="M3" s="1637">
        <v>10.29</v>
      </c>
      <c r="N3" s="1637" t="s">
        <v>3030</v>
      </c>
    </row>
    <row r="4" spans="1:14">
      <c r="A4" s="1637" t="s">
        <v>3029</v>
      </c>
      <c r="B4" s="1637" t="s">
        <v>3023</v>
      </c>
      <c r="C4" s="1637" t="s">
        <v>3024</v>
      </c>
      <c r="D4" s="1637">
        <v>19846.330000000002</v>
      </c>
      <c r="E4" s="1637">
        <v>39692.660000000003</v>
      </c>
      <c r="F4" s="1637" t="s">
        <v>3025</v>
      </c>
      <c r="G4" s="1637" t="s">
        <v>3026</v>
      </c>
      <c r="H4" s="1637" t="s">
        <v>3027</v>
      </c>
      <c r="I4" s="1637">
        <v>1000</v>
      </c>
      <c r="J4" s="1637">
        <v>1110</v>
      </c>
      <c r="K4" s="1637">
        <f t="shared" si="0"/>
        <v>559.29736127535921</v>
      </c>
      <c r="L4" s="1637">
        <v>279.64</v>
      </c>
      <c r="M4" s="1637">
        <v>11</v>
      </c>
      <c r="N4" s="1637" t="s">
        <v>3030</v>
      </c>
    </row>
    <row r="5" spans="1:14">
      <c r="A5" s="1637" t="s">
        <v>3031</v>
      </c>
      <c r="B5" s="1637" t="s">
        <v>3023</v>
      </c>
      <c r="C5" s="1637" t="s">
        <v>3024</v>
      </c>
      <c r="D5" s="1637">
        <v>39210.6</v>
      </c>
      <c r="E5" s="1637">
        <v>47052.72</v>
      </c>
      <c r="F5" s="1637" t="s">
        <v>3032</v>
      </c>
      <c r="G5" s="1637" t="s">
        <v>3026</v>
      </c>
      <c r="H5" s="1637" t="s">
        <v>3027</v>
      </c>
      <c r="I5" s="1637">
        <v>1940</v>
      </c>
      <c r="J5" s="1637">
        <v>2260</v>
      </c>
      <c r="K5" s="1637">
        <f t="shared" si="0"/>
        <v>576.37475580582804</v>
      </c>
      <c r="L5" s="1637">
        <v>480.31</v>
      </c>
      <c r="M5" s="1637">
        <v>16.489999999999998</v>
      </c>
      <c r="N5" s="1637" t="s">
        <v>3033</v>
      </c>
    </row>
    <row r="6" spans="1:14" s="2944" customFormat="1">
      <c r="A6" s="2960" t="s">
        <v>3034</v>
      </c>
      <c r="B6" s="2944" t="s">
        <v>3023</v>
      </c>
      <c r="C6" s="2944" t="s">
        <v>3024</v>
      </c>
      <c r="D6" s="2944">
        <v>80242.399999999994</v>
      </c>
      <c r="E6" s="2944">
        <v>64193.919999999998</v>
      </c>
      <c r="F6" s="2944" t="s">
        <v>3035</v>
      </c>
      <c r="G6" s="2944" t="s">
        <v>3026</v>
      </c>
      <c r="H6" s="2944" t="s">
        <v>3027</v>
      </c>
      <c r="I6" s="2944">
        <v>3930</v>
      </c>
      <c r="J6" s="2944">
        <v>4600</v>
      </c>
      <c r="K6" s="2944">
        <f t="shared" si="0"/>
        <v>573.26301307039671</v>
      </c>
      <c r="L6" s="2944">
        <v>716.58</v>
      </c>
      <c r="M6" s="2944">
        <v>17.05</v>
      </c>
      <c r="N6" s="2944" t="s">
        <v>3036</v>
      </c>
    </row>
    <row r="7" spans="1:14">
      <c r="A7" s="1637" t="s">
        <v>3037</v>
      </c>
      <c r="B7" s="1637" t="s">
        <v>3023</v>
      </c>
      <c r="C7" s="1637" t="s">
        <v>3024</v>
      </c>
      <c r="D7" s="1637">
        <v>40000.1</v>
      </c>
      <c r="E7" s="1637">
        <v>80000.2</v>
      </c>
      <c r="F7" s="1637" t="s">
        <v>3025</v>
      </c>
      <c r="G7" s="1637" t="s">
        <v>3026</v>
      </c>
      <c r="H7" s="1637" t="s">
        <v>3038</v>
      </c>
      <c r="I7" s="1637">
        <v>1920</v>
      </c>
      <c r="J7" s="1637">
        <v>2170</v>
      </c>
      <c r="K7" s="1637">
        <f t="shared" si="0"/>
        <v>542.49864375339064</v>
      </c>
      <c r="L7" s="1637">
        <v>271.25</v>
      </c>
      <c r="M7" s="1637">
        <v>13.02</v>
      </c>
      <c r="N7" s="1637" t="s">
        <v>3039</v>
      </c>
    </row>
    <row r="8" spans="1:14">
      <c r="A8" s="1637" t="s">
        <v>3040</v>
      </c>
      <c r="B8" s="1637" t="s">
        <v>3023</v>
      </c>
      <c r="C8" s="1637" t="s">
        <v>3024</v>
      </c>
      <c r="D8" s="1637">
        <v>42244.34</v>
      </c>
      <c r="E8" s="1637">
        <v>42244.34</v>
      </c>
      <c r="F8" s="1637" t="s">
        <v>3041</v>
      </c>
      <c r="G8" s="1637" t="s">
        <v>3026</v>
      </c>
      <c r="H8" s="1637" t="s">
        <v>3038</v>
      </c>
      <c r="I8" s="1637">
        <v>1970</v>
      </c>
      <c r="J8" s="1637">
        <v>2220</v>
      </c>
      <c r="K8" s="1637">
        <f t="shared" si="0"/>
        <v>525.51418722602841</v>
      </c>
      <c r="L8" s="1637">
        <v>525.5</v>
      </c>
      <c r="M8" s="1637">
        <v>12.69</v>
      </c>
      <c r="N8" s="1637" t="s">
        <v>3042</v>
      </c>
    </row>
    <row r="9" spans="1:14" s="2944" customFormat="1">
      <c r="A9" s="2944" t="s">
        <v>3043</v>
      </c>
      <c r="B9" s="2944" t="s">
        <v>3023</v>
      </c>
      <c r="C9" s="2944" t="s">
        <v>3024</v>
      </c>
      <c r="D9" s="2944">
        <v>120806.3</v>
      </c>
      <c r="E9" s="2944">
        <v>144967.6</v>
      </c>
      <c r="F9" s="2944" t="s">
        <v>3032</v>
      </c>
      <c r="G9" s="2944" t="s">
        <v>3026</v>
      </c>
      <c r="H9" s="2944" t="s">
        <v>3038</v>
      </c>
      <c r="I9" s="2944">
        <v>5980</v>
      </c>
      <c r="J9" s="2944">
        <v>6780</v>
      </c>
      <c r="K9" s="2944">
        <f t="shared" si="0"/>
        <v>561.22900875202697</v>
      </c>
      <c r="L9" s="2944">
        <v>467.68</v>
      </c>
      <c r="M9" s="2944">
        <v>13.38</v>
      </c>
      <c r="N9" s="2944" t="s">
        <v>3044</v>
      </c>
    </row>
    <row r="10" spans="1:14">
      <c r="A10" s="1637" t="s">
        <v>3040</v>
      </c>
      <c r="B10" s="1637" t="s">
        <v>3023</v>
      </c>
      <c r="C10" s="1637" t="s">
        <v>3024</v>
      </c>
      <c r="D10" s="1637">
        <v>43551.95</v>
      </c>
      <c r="E10" s="1637">
        <v>43551.95</v>
      </c>
      <c r="F10" s="1637" t="s">
        <v>3041</v>
      </c>
      <c r="G10" s="1637" t="s">
        <v>3026</v>
      </c>
      <c r="H10" s="1637" t="s">
        <v>3038</v>
      </c>
      <c r="I10" s="1637">
        <v>2030</v>
      </c>
      <c r="J10" s="1637">
        <v>2300</v>
      </c>
      <c r="K10" s="1637">
        <f t="shared" si="0"/>
        <v>528.1049413401696</v>
      </c>
      <c r="L10" s="1637">
        <v>528.1</v>
      </c>
      <c r="M10" s="1637">
        <v>13.3</v>
      </c>
      <c r="N10" s="1637" t="s">
        <v>3042</v>
      </c>
    </row>
    <row r="11" spans="1:14">
      <c r="A11" s="1637" t="s">
        <v>3045</v>
      </c>
      <c r="B11" s="1637" t="s">
        <v>3023</v>
      </c>
      <c r="C11" s="1637" t="s">
        <v>3024</v>
      </c>
      <c r="D11" s="1637">
        <v>26666.61</v>
      </c>
      <c r="E11" s="1637">
        <v>21333.29</v>
      </c>
      <c r="F11" s="1637" t="s">
        <v>3035</v>
      </c>
      <c r="G11" s="1637" t="s">
        <v>3026</v>
      </c>
      <c r="H11" s="1637" t="s">
        <v>3046</v>
      </c>
      <c r="I11" s="1637">
        <v>960</v>
      </c>
      <c r="J11" s="1637">
        <v>1100</v>
      </c>
      <c r="K11" s="1637">
        <f t="shared" si="0"/>
        <v>412.50087656436273</v>
      </c>
      <c r="L11" s="1637">
        <v>515.62</v>
      </c>
      <c r="M11" s="1637">
        <v>14.58</v>
      </c>
      <c r="N11" s="1637" t="s">
        <v>3047</v>
      </c>
    </row>
    <row r="12" spans="1:14" s="2943" customFormat="1">
      <c r="A12" s="2961" t="s">
        <v>3207</v>
      </c>
      <c r="B12" s="2943" t="s">
        <v>3023</v>
      </c>
      <c r="C12" s="2943" t="s">
        <v>3024</v>
      </c>
      <c r="D12" s="2943">
        <v>4040.5</v>
      </c>
      <c r="E12" s="2943">
        <v>4040.5</v>
      </c>
      <c r="F12" s="2943" t="s">
        <v>3041</v>
      </c>
      <c r="G12" s="2943" t="s">
        <v>3026</v>
      </c>
      <c r="H12" s="2943" t="s">
        <v>3048</v>
      </c>
      <c r="I12" s="2943">
        <v>160</v>
      </c>
      <c r="J12" s="2943">
        <v>200</v>
      </c>
      <c r="K12" s="2943">
        <f t="shared" si="0"/>
        <v>494.98824402920428</v>
      </c>
      <c r="L12" s="2943">
        <v>494.99</v>
      </c>
      <c r="M12" s="2943">
        <v>25</v>
      </c>
      <c r="N12" s="2943" t="s">
        <v>3049</v>
      </c>
    </row>
    <row r="13" spans="1:14">
      <c r="A13" s="1637" t="s">
        <v>3050</v>
      </c>
      <c r="B13" s="1637" t="s">
        <v>3023</v>
      </c>
      <c r="C13" s="1637" t="s">
        <v>3024</v>
      </c>
      <c r="D13" s="1637">
        <v>20000</v>
      </c>
      <c r="E13" s="1637">
        <v>22000</v>
      </c>
      <c r="F13" s="1637" t="s">
        <v>3051</v>
      </c>
      <c r="G13" s="1637" t="s">
        <v>3026</v>
      </c>
      <c r="H13" s="1637" t="s">
        <v>3052</v>
      </c>
      <c r="I13" s="1637">
        <v>840</v>
      </c>
      <c r="J13" s="1637">
        <v>950</v>
      </c>
      <c r="K13" s="1637">
        <f t="shared" si="0"/>
        <v>475</v>
      </c>
      <c r="L13" s="1637">
        <v>431.81</v>
      </c>
      <c r="M13" s="1637">
        <v>13.1</v>
      </c>
      <c r="N13" s="1637" t="s">
        <v>3053</v>
      </c>
    </row>
    <row r="14" spans="1:14">
      <c r="A14" s="1637" t="s">
        <v>3054</v>
      </c>
      <c r="B14" s="1637" t="s">
        <v>3023</v>
      </c>
      <c r="C14" s="1637" t="s">
        <v>3024</v>
      </c>
      <c r="D14" s="1637">
        <v>10542.61</v>
      </c>
      <c r="E14" s="1637">
        <v>10542.61</v>
      </c>
      <c r="F14" s="1637" t="s">
        <v>3041</v>
      </c>
      <c r="G14" s="1637" t="s">
        <v>3026</v>
      </c>
      <c r="H14" s="1637" t="s">
        <v>3052</v>
      </c>
      <c r="I14" s="1637">
        <v>450</v>
      </c>
      <c r="J14" s="1637">
        <v>520</v>
      </c>
      <c r="K14" s="1637">
        <f t="shared" si="0"/>
        <v>493.23649456823307</v>
      </c>
      <c r="L14" s="1637">
        <v>493.24</v>
      </c>
      <c r="M14" s="1637">
        <v>15.56</v>
      </c>
      <c r="N14" s="1637" t="s">
        <v>3055</v>
      </c>
    </row>
    <row r="15" spans="1:14">
      <c r="A15" s="1637" t="s">
        <v>3056</v>
      </c>
      <c r="B15" s="1637" t="s">
        <v>3023</v>
      </c>
      <c r="C15" s="1637" t="s">
        <v>3024</v>
      </c>
      <c r="D15" s="1637">
        <v>43412.57</v>
      </c>
      <c r="E15" s="1637">
        <v>34730.06</v>
      </c>
      <c r="F15" s="1637" t="s">
        <v>3035</v>
      </c>
      <c r="G15" s="1637" t="s">
        <v>3026</v>
      </c>
      <c r="H15" s="1637" t="s">
        <v>3052</v>
      </c>
      <c r="I15" s="1637">
        <v>1820</v>
      </c>
      <c r="J15" s="1637">
        <v>2060</v>
      </c>
      <c r="K15" s="1637">
        <f t="shared" si="0"/>
        <v>474.51694290386405</v>
      </c>
      <c r="L15" s="1637">
        <v>593.14</v>
      </c>
      <c r="M15" s="1637">
        <v>13.19</v>
      </c>
      <c r="N15" s="1637" t="s">
        <v>3057</v>
      </c>
    </row>
    <row r="16" spans="1:14">
      <c r="A16" s="1637" t="s">
        <v>3058</v>
      </c>
      <c r="B16" s="1637" t="s">
        <v>3023</v>
      </c>
      <c r="C16" s="1637" t="s">
        <v>3024</v>
      </c>
      <c r="D16" s="1637">
        <v>33333.33</v>
      </c>
      <c r="E16" s="1637">
        <v>50000</v>
      </c>
      <c r="F16" s="1637" t="s">
        <v>3059</v>
      </c>
      <c r="G16" s="1637" t="s">
        <v>3026</v>
      </c>
      <c r="H16" s="1637" t="s">
        <v>3060</v>
      </c>
      <c r="I16" s="1637">
        <v>1400</v>
      </c>
      <c r="J16" s="1637">
        <v>1480</v>
      </c>
      <c r="K16" s="1637">
        <f t="shared" si="0"/>
        <v>444.00004440000441</v>
      </c>
      <c r="L16" s="1637">
        <v>296</v>
      </c>
      <c r="M16" s="1637">
        <v>5.71</v>
      </c>
      <c r="N16" s="1637" t="s">
        <v>3061</v>
      </c>
    </row>
    <row r="17" spans="1:14">
      <c r="A17" s="1637" t="s">
        <v>3062</v>
      </c>
      <c r="B17" s="1637" t="s">
        <v>3023</v>
      </c>
      <c r="C17" s="1637" t="s">
        <v>3024</v>
      </c>
      <c r="D17" s="1637">
        <v>33333.370000000003</v>
      </c>
      <c r="E17" s="1637">
        <v>50000.06</v>
      </c>
      <c r="F17" s="1637" t="s">
        <v>3059</v>
      </c>
      <c r="G17" s="1637" t="s">
        <v>3026</v>
      </c>
      <c r="H17" s="1637" t="s">
        <v>3060</v>
      </c>
      <c r="I17" s="1637">
        <v>1350</v>
      </c>
      <c r="J17" s="1637">
        <v>2540</v>
      </c>
      <c r="K17" s="1637">
        <f t="shared" si="0"/>
        <v>761.99916180092202</v>
      </c>
      <c r="L17" s="1637">
        <v>508</v>
      </c>
      <c r="M17" s="1637">
        <v>88.15</v>
      </c>
      <c r="N17" s="1637" t="s">
        <v>3063</v>
      </c>
    </row>
    <row r="18" spans="1:14">
      <c r="A18" s="1637" t="s">
        <v>3064</v>
      </c>
      <c r="B18" s="1637" t="s">
        <v>3023</v>
      </c>
      <c r="C18" s="1637" t="s">
        <v>3024</v>
      </c>
      <c r="D18" s="1637">
        <v>83333.89</v>
      </c>
      <c r="E18" s="1637">
        <v>66667.11</v>
      </c>
      <c r="F18" s="1637" t="s">
        <v>3035</v>
      </c>
      <c r="G18" s="1637" t="s">
        <v>3026</v>
      </c>
      <c r="H18" s="1637" t="s">
        <v>3065</v>
      </c>
      <c r="I18" s="1637">
        <v>3750</v>
      </c>
      <c r="J18" s="1637">
        <v>3950</v>
      </c>
      <c r="K18" s="1637">
        <f t="shared" si="0"/>
        <v>473.99683370115088</v>
      </c>
      <c r="L18" s="1637">
        <v>592.5</v>
      </c>
      <c r="M18" s="1637">
        <v>5.33</v>
      </c>
      <c r="N18" s="1637" t="s">
        <v>3066</v>
      </c>
    </row>
    <row r="19" spans="1:14">
      <c r="A19" s="1637" t="s">
        <v>3067</v>
      </c>
      <c r="B19" s="1637" t="s">
        <v>3023</v>
      </c>
      <c r="C19" s="1637" t="s">
        <v>3024</v>
      </c>
      <c r="D19" s="1637">
        <v>43284.800000000003</v>
      </c>
      <c r="E19" s="1637">
        <v>43284.800000000003</v>
      </c>
      <c r="F19" s="1637" t="s">
        <v>3041</v>
      </c>
      <c r="G19" s="1637" t="s">
        <v>3026</v>
      </c>
      <c r="H19" s="1637" t="s">
        <v>3065</v>
      </c>
      <c r="I19" s="1637">
        <v>1750</v>
      </c>
      <c r="J19" s="1637">
        <v>1830</v>
      </c>
      <c r="K19" s="1637">
        <f t="shared" si="0"/>
        <v>422.78120725982325</v>
      </c>
      <c r="L19" s="1637">
        <v>422.77</v>
      </c>
      <c r="M19" s="1637">
        <v>4.57</v>
      </c>
      <c r="N19" s="1637" t="s">
        <v>3068</v>
      </c>
    </row>
    <row r="20" spans="1:14">
      <c r="A20" s="1637" t="s">
        <v>3069</v>
      </c>
      <c r="B20" s="1637" t="s">
        <v>3023</v>
      </c>
      <c r="C20" s="1637" t="s">
        <v>3024</v>
      </c>
      <c r="D20" s="1637">
        <v>97452.08</v>
      </c>
      <c r="E20" s="1637">
        <v>146178.1</v>
      </c>
      <c r="F20" s="1637" t="s">
        <v>3059</v>
      </c>
      <c r="G20" s="1637" t="s">
        <v>3026</v>
      </c>
      <c r="H20" s="1637" t="s">
        <v>3065</v>
      </c>
      <c r="I20" s="1637">
        <v>4100</v>
      </c>
      <c r="J20" s="1637">
        <v>4250</v>
      </c>
      <c r="K20" s="1637">
        <f t="shared" si="0"/>
        <v>436.11177924575856</v>
      </c>
      <c r="L20" s="1637">
        <v>290.74</v>
      </c>
      <c r="M20" s="1637">
        <v>3.66</v>
      </c>
      <c r="N20" s="1637" t="s">
        <v>3070</v>
      </c>
    </row>
    <row r="21" spans="1:14">
      <c r="A21" s="1637" t="s">
        <v>3040</v>
      </c>
      <c r="B21" s="1637" t="s">
        <v>3023</v>
      </c>
      <c r="C21" s="1637" t="s">
        <v>3024</v>
      </c>
      <c r="D21" s="1637">
        <v>13517</v>
      </c>
      <c r="E21" s="1637">
        <v>13517</v>
      </c>
      <c r="F21" s="1637" t="s">
        <v>3041</v>
      </c>
      <c r="G21" s="1637" t="s">
        <v>3026</v>
      </c>
      <c r="H21" s="1637" t="s">
        <v>3065</v>
      </c>
      <c r="I21" s="1637">
        <v>490</v>
      </c>
      <c r="J21" s="1637">
        <v>520</v>
      </c>
      <c r="K21" s="1637">
        <f t="shared" si="0"/>
        <v>384.7007472072205</v>
      </c>
      <c r="L21" s="1637">
        <v>384.69</v>
      </c>
      <c r="M21" s="1637">
        <v>6.12</v>
      </c>
      <c r="N21" s="1637" t="s">
        <v>3071</v>
      </c>
    </row>
    <row r="22" spans="1:14">
      <c r="A22" s="1637" t="s">
        <v>3045</v>
      </c>
      <c r="B22" s="1637" t="s">
        <v>3023</v>
      </c>
      <c r="C22" s="1637" t="s">
        <v>3024</v>
      </c>
      <c r="D22" s="1637">
        <v>6670.96</v>
      </c>
      <c r="E22" s="1637">
        <v>5336.77</v>
      </c>
      <c r="F22" s="1637" t="s">
        <v>3035</v>
      </c>
      <c r="G22" s="1637" t="s">
        <v>3026</v>
      </c>
      <c r="H22" s="1637" t="s">
        <v>3065</v>
      </c>
      <c r="I22" s="1637">
        <v>240</v>
      </c>
      <c r="J22" s="1637">
        <v>260</v>
      </c>
      <c r="K22" s="1637">
        <f t="shared" si="0"/>
        <v>389.74900164294195</v>
      </c>
      <c r="L22" s="1637">
        <v>487.18</v>
      </c>
      <c r="M22" s="1637">
        <v>8.33</v>
      </c>
      <c r="N22" s="1637" t="s">
        <v>3072</v>
      </c>
    </row>
    <row r="23" spans="1:14">
      <c r="A23" s="1637" t="s">
        <v>3073</v>
      </c>
      <c r="B23" s="1637" t="s">
        <v>3023</v>
      </c>
      <c r="C23" s="1637" t="s">
        <v>3024</v>
      </c>
      <c r="D23" s="1637">
        <v>19998.88</v>
      </c>
      <c r="E23" s="1637">
        <v>19998.88</v>
      </c>
      <c r="F23" s="1637" t="s">
        <v>3041</v>
      </c>
      <c r="G23" s="1637" t="s">
        <v>3026</v>
      </c>
      <c r="H23" s="1637" t="s">
        <v>3065</v>
      </c>
      <c r="I23" s="1637">
        <v>900</v>
      </c>
      <c r="J23" s="1637">
        <v>950</v>
      </c>
      <c r="K23" s="1637">
        <f t="shared" si="0"/>
        <v>475.0266014896834</v>
      </c>
      <c r="L23" s="1637">
        <v>475.02</v>
      </c>
      <c r="M23" s="1637">
        <v>5.56</v>
      </c>
      <c r="N23" s="1637" t="s">
        <v>3074</v>
      </c>
    </row>
    <row r="24" spans="1:14">
      <c r="A24" s="1637" t="s">
        <v>3045</v>
      </c>
      <c r="B24" s="1637" t="s">
        <v>3023</v>
      </c>
      <c r="C24" s="1637" t="s">
        <v>3024</v>
      </c>
      <c r="D24" s="1637">
        <v>6667.09</v>
      </c>
      <c r="E24" s="1637">
        <v>5333.67</v>
      </c>
      <c r="F24" s="1637" t="s">
        <v>3035</v>
      </c>
      <c r="G24" s="1637" t="s">
        <v>3026</v>
      </c>
      <c r="H24" s="1637" t="s">
        <v>3065</v>
      </c>
      <c r="I24" s="1637">
        <v>240</v>
      </c>
      <c r="J24" s="1637">
        <v>260</v>
      </c>
      <c r="K24" s="1637">
        <f t="shared" si="0"/>
        <v>389.97523657247763</v>
      </c>
      <c r="L24" s="1637">
        <v>487.47</v>
      </c>
      <c r="M24" s="1637">
        <v>8.33</v>
      </c>
      <c r="N24" s="1637" t="s">
        <v>3075</v>
      </c>
    </row>
    <row r="25" spans="1:14">
      <c r="A25" s="1637" t="s">
        <v>3076</v>
      </c>
      <c r="B25" s="1637" t="s">
        <v>3023</v>
      </c>
      <c r="C25" s="1637" t="s">
        <v>3024</v>
      </c>
      <c r="D25" s="1637">
        <v>9971.2099999999991</v>
      </c>
      <c r="E25" s="1637">
        <v>7976.97</v>
      </c>
      <c r="F25" s="1637" t="s">
        <v>3035</v>
      </c>
      <c r="G25" s="1637" t="s">
        <v>3026</v>
      </c>
      <c r="H25" s="1637" t="s">
        <v>3065</v>
      </c>
      <c r="I25" s="1637">
        <v>400</v>
      </c>
      <c r="J25" s="1637">
        <v>430</v>
      </c>
      <c r="K25" s="1637">
        <f t="shared" si="0"/>
        <v>431.24154440634589</v>
      </c>
      <c r="L25" s="1637">
        <v>539.04</v>
      </c>
      <c r="M25" s="1637">
        <v>7.5</v>
      </c>
      <c r="N25" s="1637" t="s">
        <v>3077</v>
      </c>
    </row>
    <row r="26" spans="1:14">
      <c r="A26" s="1637" t="s">
        <v>3040</v>
      </c>
      <c r="B26" s="1637" t="s">
        <v>3023</v>
      </c>
      <c r="C26" s="1637" t="s">
        <v>3024</v>
      </c>
      <c r="D26" s="1637">
        <v>14537.86</v>
      </c>
      <c r="E26" s="1637">
        <v>14537.86</v>
      </c>
      <c r="F26" s="1637" t="s">
        <v>3041</v>
      </c>
      <c r="G26" s="1637" t="s">
        <v>3026</v>
      </c>
      <c r="H26" s="1637" t="s">
        <v>3065</v>
      </c>
      <c r="I26" s="1637">
        <v>520</v>
      </c>
      <c r="J26" s="1637">
        <v>560</v>
      </c>
      <c r="K26" s="1637">
        <f t="shared" si="0"/>
        <v>385.20112313641761</v>
      </c>
      <c r="L26" s="1637">
        <v>385.19</v>
      </c>
      <c r="M26" s="1637">
        <v>7.69</v>
      </c>
      <c r="N26" s="1637" t="s">
        <v>3071</v>
      </c>
    </row>
    <row r="27" spans="1:14">
      <c r="A27" s="1637" t="s">
        <v>3078</v>
      </c>
      <c r="B27" s="1637" t="s">
        <v>3023</v>
      </c>
      <c r="C27" s="1637" t="s">
        <v>3024</v>
      </c>
      <c r="D27" s="1637">
        <v>26665.599999999999</v>
      </c>
      <c r="E27" s="1637">
        <v>26665.599999999999</v>
      </c>
      <c r="F27" s="1637" t="s">
        <v>3041</v>
      </c>
      <c r="G27" s="1637" t="s">
        <v>3026</v>
      </c>
      <c r="H27" s="1637" t="s">
        <v>3065</v>
      </c>
      <c r="I27" s="1637">
        <v>1040</v>
      </c>
      <c r="J27" s="1637">
        <v>1120</v>
      </c>
      <c r="K27" s="1637">
        <f t="shared" si="0"/>
        <v>420.01680067202687</v>
      </c>
      <c r="L27" s="1637">
        <v>420.01</v>
      </c>
      <c r="M27" s="1637">
        <v>7.69</v>
      </c>
      <c r="N27" s="1637" t="s">
        <v>3079</v>
      </c>
    </row>
    <row r="28" spans="1:14">
      <c r="A28" s="1637" t="s">
        <v>3080</v>
      </c>
      <c r="B28" s="1637" t="s">
        <v>3023</v>
      </c>
      <c r="C28" s="1637" t="s">
        <v>3024</v>
      </c>
      <c r="D28" s="1637">
        <v>53473.1</v>
      </c>
      <c r="E28" s="1637">
        <v>64167.72</v>
      </c>
      <c r="F28" s="1637" t="s">
        <v>3032</v>
      </c>
      <c r="G28" s="1637" t="s">
        <v>3026</v>
      </c>
      <c r="H28" s="1637" t="s">
        <v>3081</v>
      </c>
      <c r="I28" s="1637">
        <v>2090</v>
      </c>
      <c r="J28" s="1637">
        <v>2260</v>
      </c>
      <c r="K28" s="1637">
        <f t="shared" si="0"/>
        <v>422.6424127271469</v>
      </c>
      <c r="L28" s="1637">
        <v>352.19</v>
      </c>
      <c r="M28" s="1637">
        <v>8.1300000000000008</v>
      </c>
      <c r="N28" s="1637" t="s">
        <v>3082</v>
      </c>
    </row>
    <row r="29" spans="1:14" s="2943" customFormat="1">
      <c r="A29" s="2943" t="s">
        <v>3083</v>
      </c>
      <c r="B29" s="2943" t="s">
        <v>3023</v>
      </c>
      <c r="C29" s="2943" t="s">
        <v>3024</v>
      </c>
      <c r="D29" s="2943">
        <v>167156.70000000001</v>
      </c>
      <c r="E29" s="2943">
        <v>167156.70000000001</v>
      </c>
      <c r="F29" s="2943" t="s">
        <v>3084</v>
      </c>
      <c r="G29" s="2943" t="s">
        <v>3026</v>
      </c>
      <c r="H29" s="2943" t="s">
        <v>3085</v>
      </c>
      <c r="I29" s="2943">
        <v>6770</v>
      </c>
      <c r="J29" s="2943">
        <v>6980</v>
      </c>
      <c r="K29" s="1637">
        <f t="shared" si="0"/>
        <v>417.57225405861681</v>
      </c>
      <c r="L29" s="2943">
        <v>417.56</v>
      </c>
      <c r="M29" s="2943">
        <v>3.1</v>
      </c>
      <c r="N29" s="2943" t="s">
        <v>3086</v>
      </c>
    </row>
    <row r="30" spans="1:14" s="2943" customFormat="1">
      <c r="A30" s="2943" t="s">
        <v>3087</v>
      </c>
      <c r="B30" s="2943" t="s">
        <v>3023</v>
      </c>
      <c r="C30" s="2943" t="s">
        <v>3024</v>
      </c>
      <c r="D30" s="2943">
        <v>58847.79</v>
      </c>
      <c r="E30" s="2943">
        <v>58847.79</v>
      </c>
      <c r="F30" s="2943" t="s">
        <v>3084</v>
      </c>
      <c r="G30" s="2943" t="s">
        <v>3026</v>
      </c>
      <c r="H30" s="2943" t="s">
        <v>3085</v>
      </c>
      <c r="I30" s="2943">
        <v>2380</v>
      </c>
      <c r="J30" s="2943">
        <v>2480</v>
      </c>
      <c r="K30" s="1637">
        <f t="shared" si="0"/>
        <v>421.42619119596503</v>
      </c>
      <c r="L30" s="2943">
        <v>421.43</v>
      </c>
      <c r="M30" s="2943">
        <v>4.2</v>
      </c>
      <c r="N30" s="2943" t="s">
        <v>3088</v>
      </c>
    </row>
    <row r="31" spans="1:14">
      <c r="A31" s="1637" t="s">
        <v>3089</v>
      </c>
      <c r="B31" s="1637" t="s">
        <v>3023</v>
      </c>
      <c r="C31" s="1637" t="s">
        <v>3024</v>
      </c>
      <c r="D31" s="1637">
        <v>80000.429999999993</v>
      </c>
      <c r="E31" s="1637">
        <v>80000.429999999993</v>
      </c>
      <c r="F31" s="1637" t="s">
        <v>3041</v>
      </c>
      <c r="G31" s="1637" t="s">
        <v>3026</v>
      </c>
      <c r="H31" s="1637" t="s">
        <v>3090</v>
      </c>
      <c r="I31" s="1637">
        <v>2690</v>
      </c>
      <c r="J31" s="1637">
        <v>2890</v>
      </c>
      <c r="K31" s="1637">
        <f t="shared" si="0"/>
        <v>361.24805829168673</v>
      </c>
      <c r="L31" s="1637">
        <v>361.25</v>
      </c>
      <c r="M31" s="1637">
        <v>7.43</v>
      </c>
      <c r="N31" s="1637" t="s">
        <v>3091</v>
      </c>
    </row>
    <row r="32" spans="1:14">
      <c r="A32" s="1637" t="s">
        <v>3092</v>
      </c>
      <c r="B32" s="1637" t="s">
        <v>3023</v>
      </c>
      <c r="C32" s="1637" t="s">
        <v>3024</v>
      </c>
      <c r="D32" s="1637">
        <v>15702.05</v>
      </c>
      <c r="E32" s="1637">
        <v>28263.69</v>
      </c>
      <c r="F32" s="1637" t="s">
        <v>3093</v>
      </c>
      <c r="G32" s="1637" t="s">
        <v>3026</v>
      </c>
      <c r="H32" s="1637" t="s">
        <v>3094</v>
      </c>
      <c r="I32" s="1637">
        <v>590</v>
      </c>
      <c r="J32" s="1637">
        <v>630</v>
      </c>
      <c r="K32" s="1637">
        <f t="shared" si="0"/>
        <v>401.22149655618216</v>
      </c>
      <c r="L32" s="1637">
        <v>222.9</v>
      </c>
      <c r="M32" s="1637">
        <v>6.78</v>
      </c>
      <c r="N32" s="1637" t="s">
        <v>3095</v>
      </c>
    </row>
    <row r="33" spans="1:14">
      <c r="A33" s="1637" t="s">
        <v>3096</v>
      </c>
      <c r="B33" s="1637" t="s">
        <v>3023</v>
      </c>
      <c r="C33" s="1637" t="s">
        <v>3024</v>
      </c>
      <c r="D33" s="1637">
        <v>37325</v>
      </c>
      <c r="E33" s="1637">
        <v>55987.5</v>
      </c>
      <c r="F33" s="1637" t="s">
        <v>3097</v>
      </c>
      <c r="G33" s="1637" t="s">
        <v>3026</v>
      </c>
      <c r="H33" s="1637" t="s">
        <v>3098</v>
      </c>
      <c r="I33" s="1637">
        <v>1740</v>
      </c>
      <c r="J33" s="1637">
        <v>1790</v>
      </c>
      <c r="K33" s="1637">
        <f t="shared" si="0"/>
        <v>479.57133288680507</v>
      </c>
      <c r="L33" s="1637">
        <v>319.7</v>
      </c>
      <c r="M33" s="1637">
        <v>2.87</v>
      </c>
      <c r="N33" s="1637" t="s">
        <v>3099</v>
      </c>
    </row>
    <row r="34" spans="1:14">
      <c r="A34" s="1637" t="s">
        <v>3100</v>
      </c>
      <c r="B34" s="1637" t="s">
        <v>3023</v>
      </c>
      <c r="C34" s="1637" t="s">
        <v>3024</v>
      </c>
      <c r="D34" s="1637">
        <v>16668</v>
      </c>
      <c r="E34" s="1637">
        <v>25002</v>
      </c>
      <c r="F34" s="1637" t="s">
        <v>3097</v>
      </c>
      <c r="G34" s="1637" t="s">
        <v>3026</v>
      </c>
      <c r="H34" s="1637" t="s">
        <v>3098</v>
      </c>
      <c r="I34" s="1637">
        <v>750</v>
      </c>
      <c r="J34" s="1637">
        <v>780</v>
      </c>
      <c r="K34" s="1637">
        <f t="shared" si="0"/>
        <v>467.96256299496042</v>
      </c>
      <c r="L34" s="1637">
        <v>311.98</v>
      </c>
      <c r="M34" s="1637">
        <v>4</v>
      </c>
      <c r="N34" s="1637" t="s">
        <v>3101</v>
      </c>
    </row>
    <row r="35" spans="1:14">
      <c r="A35" s="1637" t="s">
        <v>3102</v>
      </c>
      <c r="B35" s="1637" t="s">
        <v>3023</v>
      </c>
      <c r="C35" s="1637" t="s">
        <v>3024</v>
      </c>
      <c r="D35" s="1637">
        <v>33333</v>
      </c>
      <c r="E35" s="1637">
        <v>49999.5</v>
      </c>
      <c r="F35" s="1637" t="s">
        <v>3097</v>
      </c>
      <c r="G35" s="1637" t="s">
        <v>3026</v>
      </c>
      <c r="H35" s="1637" t="s">
        <v>3098</v>
      </c>
      <c r="I35" s="1637">
        <v>1500</v>
      </c>
      <c r="J35" s="1637">
        <v>1560</v>
      </c>
      <c r="K35" s="1637">
        <f t="shared" si="0"/>
        <v>468.00468004680044</v>
      </c>
      <c r="L35" s="1637">
        <v>312</v>
      </c>
      <c r="M35" s="1637">
        <v>4</v>
      </c>
      <c r="N35" s="1637" t="s">
        <v>3103</v>
      </c>
    </row>
    <row r="36" spans="1:14">
      <c r="A36" s="1637" t="s">
        <v>3104</v>
      </c>
      <c r="B36" s="1637" t="s">
        <v>3023</v>
      </c>
      <c r="C36" s="1637" t="s">
        <v>3024</v>
      </c>
      <c r="D36" s="1637">
        <v>6667.24</v>
      </c>
      <c r="E36" s="1637">
        <v>6667.24</v>
      </c>
      <c r="F36" s="1637" t="s">
        <v>3105</v>
      </c>
      <c r="G36" s="1637" t="s">
        <v>3026</v>
      </c>
      <c r="H36" s="1637" t="s">
        <v>3106</v>
      </c>
      <c r="I36" s="1637">
        <v>220</v>
      </c>
      <c r="J36" s="1637">
        <v>240</v>
      </c>
      <c r="K36" s="1637">
        <f t="shared" si="0"/>
        <v>359.96904266233111</v>
      </c>
      <c r="L36" s="1637">
        <v>359.97</v>
      </c>
      <c r="M36" s="1637">
        <v>9.09</v>
      </c>
      <c r="N36" s="1637" t="s">
        <v>3107</v>
      </c>
    </row>
    <row r="37" spans="1:14">
      <c r="A37" s="1637" t="s">
        <v>3108</v>
      </c>
      <c r="B37" s="1637" t="s">
        <v>3023</v>
      </c>
      <c r="C37" s="1637" t="s">
        <v>3024</v>
      </c>
      <c r="D37" s="1637">
        <v>264494.40000000002</v>
      </c>
      <c r="E37" s="1637">
        <v>211595.5</v>
      </c>
      <c r="F37" s="1637" t="s">
        <v>3109</v>
      </c>
      <c r="G37" s="1637" t="s">
        <v>3026</v>
      </c>
      <c r="H37" s="1637" t="s">
        <v>3106</v>
      </c>
      <c r="I37" s="1637">
        <v>8330</v>
      </c>
      <c r="J37" s="1637">
        <v>9090</v>
      </c>
      <c r="K37" s="1637">
        <f t="shared" si="0"/>
        <v>343.67457307224646</v>
      </c>
      <c r="L37" s="1637">
        <v>429.58</v>
      </c>
      <c r="M37" s="1637">
        <v>9.1199999999999992</v>
      </c>
      <c r="N37" s="1637" t="s">
        <v>3110</v>
      </c>
    </row>
    <row r="38" spans="1:14">
      <c r="A38" s="1637" t="s">
        <v>3111</v>
      </c>
      <c r="B38" s="1637" t="s">
        <v>3023</v>
      </c>
      <c r="C38" s="1637" t="s">
        <v>3024</v>
      </c>
      <c r="D38" s="1637">
        <v>33335.86</v>
      </c>
      <c r="E38" s="1637">
        <v>33335.86</v>
      </c>
      <c r="F38" s="1637" t="s">
        <v>3105</v>
      </c>
      <c r="G38" s="1637" t="s">
        <v>3026</v>
      </c>
      <c r="H38" s="1637" t="s">
        <v>3106</v>
      </c>
      <c r="I38" s="1637">
        <v>1150</v>
      </c>
      <c r="J38" s="1637">
        <v>1230</v>
      </c>
      <c r="K38" s="1637">
        <f t="shared" si="0"/>
        <v>368.97203191998045</v>
      </c>
      <c r="L38" s="1637">
        <v>368.97</v>
      </c>
      <c r="M38" s="1637">
        <v>6.96</v>
      </c>
      <c r="N38" s="1637" t="s">
        <v>3112</v>
      </c>
    </row>
    <row r="39" spans="1:14">
      <c r="A39" s="1637" t="s">
        <v>3113</v>
      </c>
      <c r="B39" s="1637" t="s">
        <v>3023</v>
      </c>
      <c r="C39" s="1637" t="s">
        <v>3024</v>
      </c>
      <c r="D39" s="1637">
        <v>7609.83</v>
      </c>
      <c r="E39" s="1637">
        <v>7609.83</v>
      </c>
      <c r="F39" s="1637" t="s">
        <v>3105</v>
      </c>
      <c r="G39" s="1637" t="s">
        <v>3026</v>
      </c>
      <c r="H39" s="1637" t="s">
        <v>3114</v>
      </c>
      <c r="I39" s="1637">
        <v>321</v>
      </c>
      <c r="J39" s="1637">
        <v>321</v>
      </c>
      <c r="K39" s="1637">
        <f t="shared" si="0"/>
        <v>421.8228265283193</v>
      </c>
      <c r="L39" s="1637">
        <v>421.81</v>
      </c>
      <c r="M39" s="1637">
        <v>0</v>
      </c>
      <c r="N39" s="1637" t="s">
        <v>3115</v>
      </c>
    </row>
    <row r="40" spans="1:14">
      <c r="A40" s="1637" t="s">
        <v>3116</v>
      </c>
      <c r="B40" s="1637" t="s">
        <v>3023</v>
      </c>
      <c r="C40" s="1637" t="s">
        <v>3024</v>
      </c>
      <c r="D40" s="1637">
        <v>9461</v>
      </c>
      <c r="E40" s="1637">
        <v>14191.5</v>
      </c>
      <c r="F40" s="1637" t="s">
        <v>3097</v>
      </c>
      <c r="G40" s="1637" t="s">
        <v>3026</v>
      </c>
      <c r="H40" s="1637" t="s">
        <v>3114</v>
      </c>
      <c r="I40" s="1637">
        <v>410</v>
      </c>
      <c r="J40" s="1637">
        <v>430</v>
      </c>
      <c r="K40" s="1637">
        <f t="shared" si="0"/>
        <v>454.49741042173133</v>
      </c>
      <c r="L40" s="1637">
        <v>303</v>
      </c>
      <c r="M40" s="1637">
        <v>4.88</v>
      </c>
      <c r="N40" s="1637" t="s">
        <v>3117</v>
      </c>
    </row>
    <row r="41" spans="1:14">
      <c r="A41" s="1637" t="s">
        <v>3118</v>
      </c>
      <c r="B41" s="1637" t="s">
        <v>3023</v>
      </c>
      <c r="C41" s="1637" t="s">
        <v>3024</v>
      </c>
      <c r="D41" s="1637">
        <v>33866</v>
      </c>
      <c r="E41" s="1637">
        <v>50799</v>
      </c>
      <c r="F41" s="1637" t="s">
        <v>3097</v>
      </c>
      <c r="G41" s="1637" t="s">
        <v>3026</v>
      </c>
      <c r="H41" s="1637" t="s">
        <v>3114</v>
      </c>
      <c r="I41" s="1637">
        <v>1470</v>
      </c>
      <c r="J41" s="1637">
        <v>1520</v>
      </c>
      <c r="K41" s="1637">
        <f t="shared" si="0"/>
        <v>448.82773282938638</v>
      </c>
      <c r="L41" s="1637">
        <v>299.22000000000003</v>
      </c>
      <c r="M41" s="1637">
        <v>3.4</v>
      </c>
      <c r="N41" s="1637" t="s">
        <v>3119</v>
      </c>
    </row>
    <row r="42" spans="1:14">
      <c r="A42" s="1637" t="s">
        <v>3120</v>
      </c>
      <c r="B42" s="1637" t="s">
        <v>3023</v>
      </c>
      <c r="C42" s="1637" t="s">
        <v>3024</v>
      </c>
      <c r="D42" s="1637">
        <v>15444</v>
      </c>
      <c r="E42" s="1637">
        <v>23166</v>
      </c>
      <c r="F42" s="1637" t="s">
        <v>3097</v>
      </c>
      <c r="G42" s="1637" t="s">
        <v>3026</v>
      </c>
      <c r="H42" s="1637" t="s">
        <v>3114</v>
      </c>
      <c r="I42" s="1637">
        <v>670</v>
      </c>
      <c r="J42" s="1637">
        <v>700</v>
      </c>
      <c r="K42" s="1637">
        <f t="shared" si="0"/>
        <v>453.25045325045323</v>
      </c>
      <c r="L42" s="1637">
        <v>302.17</v>
      </c>
      <c r="M42" s="1637">
        <v>4.4800000000000004</v>
      </c>
      <c r="N42" s="1637" t="s">
        <v>3121</v>
      </c>
    </row>
    <row r="43" spans="1:14">
      <c r="A43" s="1637" t="s">
        <v>3122</v>
      </c>
      <c r="B43" s="1637" t="s">
        <v>3023</v>
      </c>
      <c r="C43" s="1637" t="s">
        <v>3024</v>
      </c>
      <c r="D43" s="1637">
        <v>28561</v>
      </c>
      <c r="E43" s="1637">
        <v>42841.5</v>
      </c>
      <c r="F43" s="1637" t="s">
        <v>3097</v>
      </c>
      <c r="G43" s="1637" t="s">
        <v>3026</v>
      </c>
      <c r="H43" s="1637" t="s">
        <v>3114</v>
      </c>
      <c r="I43" s="1637">
        <v>1240</v>
      </c>
      <c r="J43" s="1637">
        <v>1280</v>
      </c>
      <c r="K43" s="1637">
        <f t="shared" si="0"/>
        <v>448.16357970659288</v>
      </c>
      <c r="L43" s="1637">
        <v>298.77</v>
      </c>
      <c r="M43" s="1637">
        <v>3.23</v>
      </c>
      <c r="N43" s="1637" t="s">
        <v>3123</v>
      </c>
    </row>
    <row r="44" spans="1:14">
      <c r="A44" s="1637" t="s">
        <v>3124</v>
      </c>
      <c r="B44" s="1637" t="s">
        <v>3023</v>
      </c>
      <c r="C44" s="1637" t="s">
        <v>3024</v>
      </c>
      <c r="D44" s="1637">
        <v>7144</v>
      </c>
      <c r="E44" s="1637">
        <v>10716</v>
      </c>
      <c r="F44" s="1637" t="s">
        <v>3097</v>
      </c>
      <c r="G44" s="1637" t="s">
        <v>3026</v>
      </c>
      <c r="H44" s="1637" t="s">
        <v>3114</v>
      </c>
      <c r="I44" s="1637">
        <v>310</v>
      </c>
      <c r="J44" s="1637">
        <v>330</v>
      </c>
      <c r="K44" s="1637">
        <f t="shared" si="0"/>
        <v>461.92609182530794</v>
      </c>
      <c r="L44" s="1637">
        <v>307.94</v>
      </c>
      <c r="M44" s="1637">
        <v>6.45</v>
      </c>
      <c r="N44" s="1637" t="s">
        <v>3125</v>
      </c>
    </row>
    <row r="45" spans="1:14">
      <c r="A45" s="1637" t="s">
        <v>3113</v>
      </c>
      <c r="B45" s="1637" t="s">
        <v>3023</v>
      </c>
      <c r="C45" s="1637" t="s">
        <v>3024</v>
      </c>
      <c r="D45" s="1637">
        <v>9852.66</v>
      </c>
      <c r="E45" s="1637">
        <v>7882.13</v>
      </c>
      <c r="F45" s="1637" t="s">
        <v>3126</v>
      </c>
      <c r="G45" s="1637" t="s">
        <v>3026</v>
      </c>
      <c r="H45" s="1637" t="s">
        <v>3127</v>
      </c>
      <c r="I45" s="1637">
        <v>415</v>
      </c>
      <c r="J45" s="1637">
        <v>420</v>
      </c>
      <c r="K45" s="1637">
        <f t="shared" si="0"/>
        <v>426.28082162583507</v>
      </c>
      <c r="L45" s="1637">
        <v>532.85</v>
      </c>
      <c r="M45" s="1637">
        <v>1.2</v>
      </c>
      <c r="N45" s="1637" t="s">
        <v>3128</v>
      </c>
    </row>
    <row r="46" spans="1:14">
      <c r="A46" s="1637" t="s">
        <v>3129</v>
      </c>
      <c r="B46" s="1637" t="s">
        <v>3023</v>
      </c>
      <c r="C46" s="1637" t="s">
        <v>3024</v>
      </c>
      <c r="D46" s="1637">
        <v>25593.06</v>
      </c>
      <c r="E46" s="1637">
        <v>25593.06</v>
      </c>
      <c r="F46" s="1637" t="s">
        <v>3130</v>
      </c>
      <c r="G46" s="1637" t="s">
        <v>3026</v>
      </c>
      <c r="H46" s="1637" t="s">
        <v>3127</v>
      </c>
      <c r="I46" s="1637">
        <v>770</v>
      </c>
      <c r="J46" s="1637">
        <v>790</v>
      </c>
      <c r="K46" s="1637">
        <f t="shared" si="0"/>
        <v>308.6774305221806</v>
      </c>
      <c r="L46" s="1637">
        <v>308.68</v>
      </c>
      <c r="M46" s="1637">
        <v>2.6</v>
      </c>
      <c r="N46" s="1637" t="s">
        <v>3131</v>
      </c>
    </row>
    <row r="47" spans="1:14">
      <c r="A47" s="1637" t="s">
        <v>3132</v>
      </c>
      <c r="B47" s="1637" t="s">
        <v>3023</v>
      </c>
      <c r="C47" s="1637" t="s">
        <v>3024</v>
      </c>
      <c r="D47" s="1637">
        <v>6666.69</v>
      </c>
      <c r="E47" s="1637">
        <v>6666.69</v>
      </c>
      <c r="F47" s="1637" t="s">
        <v>3130</v>
      </c>
      <c r="G47" s="1637" t="s">
        <v>3026</v>
      </c>
      <c r="H47" s="1637" t="s">
        <v>3127</v>
      </c>
      <c r="I47" s="1637">
        <v>200</v>
      </c>
      <c r="J47" s="1637">
        <v>205</v>
      </c>
      <c r="K47" s="1637">
        <f t="shared" si="0"/>
        <v>307.49892375376692</v>
      </c>
      <c r="L47" s="1637">
        <v>307.5</v>
      </c>
      <c r="M47" s="1637">
        <v>2.5</v>
      </c>
      <c r="N47" s="1637" t="s">
        <v>3074</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election activeCell="A2" sqref="A2:A11"/>
    </sheetView>
  </sheetViews>
  <sheetFormatPr defaultRowHeight="13.5"/>
  <cols>
    <col min="2" max="2" width="9.875" customWidth="1"/>
  </cols>
  <sheetData>
    <row r="1" spans="1:10">
      <c r="B1" s="2949" t="s">
        <v>3159</v>
      </c>
      <c r="C1" s="2949" t="s">
        <v>3157</v>
      </c>
      <c r="D1" s="2949" t="s">
        <v>3158</v>
      </c>
    </row>
    <row r="2" spans="1:10">
      <c r="A2" s="2949">
        <v>1</v>
      </c>
      <c r="B2">
        <f>'数据-基础表'!G13</f>
        <v>23.13</v>
      </c>
      <c r="C2">
        <v>2007</v>
      </c>
      <c r="D2" s="2950">
        <f>ROUND(1-(1-2%)*(2018-C2)/50,2)</f>
        <v>0.78</v>
      </c>
    </row>
    <row r="3" spans="1:10">
      <c r="A3" s="2949">
        <v>2</v>
      </c>
      <c r="B3">
        <f>'数据-基础表'!G14</f>
        <v>5727.82</v>
      </c>
      <c r="C3">
        <v>2007</v>
      </c>
      <c r="D3" s="2950">
        <f t="shared" ref="D3:D11" si="0">ROUND(1-(1-2%)*(2018-C3)/50,2)</f>
        <v>0.78</v>
      </c>
      <c r="G3">
        <v>2</v>
      </c>
      <c r="H3">
        <v>5727.82</v>
      </c>
      <c r="I3">
        <v>2007</v>
      </c>
      <c r="J3" s="2950">
        <f>ROUND(1-(1-2%)*(2018-C2)/50,2)</f>
        <v>0.78</v>
      </c>
    </row>
    <row r="4" spans="1:10">
      <c r="A4" s="2949">
        <v>3</v>
      </c>
      <c r="B4">
        <f>'数据-基础表'!G15</f>
        <v>22231.48</v>
      </c>
      <c r="C4">
        <v>2007</v>
      </c>
      <c r="D4" s="2950">
        <f>ROUND(1-(1-2%)*(2018-C4)/70,2)</f>
        <v>0.85</v>
      </c>
      <c r="G4">
        <v>3</v>
      </c>
      <c r="H4">
        <v>22231.48</v>
      </c>
      <c r="I4">
        <v>2007</v>
      </c>
      <c r="J4" s="2950">
        <f>ROUND(1-(1-2%)*(2018-C3)/70,2)</f>
        <v>0.85</v>
      </c>
    </row>
    <row r="5" spans="1:10">
      <c r="A5" s="2949">
        <v>4</v>
      </c>
      <c r="B5">
        <f>'数据-基础表'!G16</f>
        <v>131.44</v>
      </c>
      <c r="C5">
        <v>2007</v>
      </c>
      <c r="D5" s="2950">
        <f t="shared" si="0"/>
        <v>0.78</v>
      </c>
      <c r="J5" s="2950"/>
    </row>
    <row r="6" spans="1:10">
      <c r="A6" s="2949">
        <v>5</v>
      </c>
      <c r="B6">
        <f>'数据-基础表'!G17</f>
        <v>551.48</v>
      </c>
      <c r="C6">
        <v>2007</v>
      </c>
      <c r="D6" s="2950">
        <f t="shared" si="0"/>
        <v>0.78</v>
      </c>
      <c r="J6" s="2950"/>
    </row>
    <row r="7" spans="1:10">
      <c r="A7" s="2949">
        <v>6</v>
      </c>
      <c r="B7">
        <f>'数据-基础表'!G18</f>
        <v>120.62</v>
      </c>
      <c r="C7">
        <v>2007</v>
      </c>
      <c r="D7" s="2950">
        <f t="shared" si="0"/>
        <v>0.78</v>
      </c>
      <c r="J7" s="2950"/>
    </row>
    <row r="8" spans="1:10">
      <c r="A8" s="2949">
        <v>7</v>
      </c>
      <c r="B8">
        <f>'数据-基础表'!G19</f>
        <v>226.99</v>
      </c>
      <c r="C8">
        <v>2007</v>
      </c>
      <c r="D8" s="2950">
        <f t="shared" si="0"/>
        <v>0.78</v>
      </c>
      <c r="J8" s="2950"/>
    </row>
    <row r="9" spans="1:10">
      <c r="A9" s="2949">
        <v>8</v>
      </c>
      <c r="B9">
        <f>'数据-基础表'!G20</f>
        <v>248.2</v>
      </c>
      <c r="C9">
        <v>2007</v>
      </c>
      <c r="D9" s="2950">
        <f t="shared" si="0"/>
        <v>0.78</v>
      </c>
      <c r="J9" s="2950"/>
    </row>
    <row r="10" spans="1:10">
      <c r="A10" s="2949">
        <v>9</v>
      </c>
      <c r="B10">
        <f>'数据-基础表'!G21</f>
        <v>2425.02</v>
      </c>
      <c r="C10">
        <v>2007</v>
      </c>
      <c r="D10" s="2950">
        <f t="shared" si="0"/>
        <v>0.78</v>
      </c>
      <c r="G10">
        <v>9</v>
      </c>
      <c r="H10">
        <v>2425.02</v>
      </c>
      <c r="I10">
        <v>2007</v>
      </c>
      <c r="J10" s="2950">
        <f>ROUND(1-(1-2%)*(2018-C10)/50,2)</f>
        <v>0.78</v>
      </c>
    </row>
    <row r="11" spans="1:10">
      <c r="A11" s="2949">
        <v>10</v>
      </c>
      <c r="B11">
        <f>'数据-基础表'!G22</f>
        <v>0</v>
      </c>
      <c r="C11">
        <v>2007</v>
      </c>
      <c r="D11" s="2950">
        <f t="shared" si="0"/>
        <v>0.78</v>
      </c>
      <c r="J11" s="2950"/>
    </row>
    <row r="12" spans="1:10">
      <c r="A12" s="2949"/>
      <c r="D12" s="2950"/>
      <c r="J12" s="2950"/>
    </row>
    <row r="13" spans="1:10">
      <c r="A13" s="2949">
        <v>12</v>
      </c>
      <c r="B13">
        <f>'数据-基础表'!G24</f>
        <v>13259</v>
      </c>
      <c r="C13">
        <v>2012</v>
      </c>
      <c r="D13" s="2950">
        <f>ROUND(1-(1-2%)*(2018-C13)/70,2)</f>
        <v>0.92</v>
      </c>
      <c r="G13">
        <v>12</v>
      </c>
      <c r="H13">
        <v>13259</v>
      </c>
      <c r="I13">
        <v>2012</v>
      </c>
      <c r="J13" s="2950">
        <f>ROUND(1-(1-2%)*(2018-C13)/70,2)</f>
        <v>0.92</v>
      </c>
    </row>
    <row r="14" spans="1:10">
      <c r="A14" s="2949"/>
      <c r="B14">
        <f>SUM(B2:B13)</f>
        <v>44945.18</v>
      </c>
      <c r="D14" s="2950">
        <f>ROUND(SUMPRODUCT(B2:B13*D2:D13/B14),2)</f>
        <v>0.86</v>
      </c>
      <c r="H14">
        <f>SUM(H3:H13)</f>
        <v>43643.32</v>
      </c>
      <c r="J14" s="2950">
        <f>ROUND(SUMPRODUCT(H3:H13*J3:J13/H14),2)</f>
        <v>0.86</v>
      </c>
    </row>
    <row r="15" spans="1:10">
      <c r="A15" s="2949"/>
    </row>
    <row r="20" spans="2:6">
      <c r="C20" s="2949" t="s">
        <v>3221</v>
      </c>
      <c r="D20" s="2949" t="s">
        <v>3222</v>
      </c>
      <c r="E20" s="2949" t="s">
        <v>3223</v>
      </c>
      <c r="F20" s="2949" t="s">
        <v>3224</v>
      </c>
    </row>
    <row r="21" spans="2:6">
      <c r="B21" s="2949" t="s">
        <v>3225</v>
      </c>
      <c r="C21">
        <f>'数据-基础表'!K14</f>
        <v>5727.82</v>
      </c>
      <c r="D21">
        <v>2000</v>
      </c>
      <c r="E21">
        <v>1.2</v>
      </c>
      <c r="F21">
        <v>2.5</v>
      </c>
    </row>
    <row r="22" spans="2:6">
      <c r="B22" s="2949" t="s">
        <v>3226</v>
      </c>
      <c r="C22">
        <f>'数据-基础表'!I15+'数据-基础表'!I24</f>
        <v>35490.479999999996</v>
      </c>
      <c r="D22">
        <v>1500</v>
      </c>
      <c r="E22">
        <v>1</v>
      </c>
      <c r="F22">
        <v>2</v>
      </c>
    </row>
    <row r="23" spans="2:6">
      <c r="B23" s="2949" t="s">
        <v>3227</v>
      </c>
      <c r="C23">
        <f>'数据-基础表'!M20+'数据-基础表'!M21</f>
        <v>2673.22</v>
      </c>
      <c r="D23">
        <v>1500</v>
      </c>
      <c r="E23">
        <v>0.5</v>
      </c>
      <c r="F23">
        <v>2</v>
      </c>
    </row>
    <row r="24" spans="2:6">
      <c r="C24">
        <f>SUM(C21:C23)</f>
        <v>43891.519999999997</v>
      </c>
      <c r="D24">
        <f>SUMPRODUCT(C21:C23*D21:D23/C24)</f>
        <v>1565.2497338893709</v>
      </c>
      <c r="E24">
        <f>SUMPRODUCT(C21:C23*E21:E23/C24)</f>
        <v>0.99564731410532148</v>
      </c>
      <c r="F24">
        <f>SUMPRODUCT(C21:C23*F21:F23/C24)</f>
        <v>2.0652497338893707</v>
      </c>
    </row>
    <row r="27" spans="2:6">
      <c r="B27" s="2949" t="s">
        <v>3228</v>
      </c>
      <c r="C27">
        <f>'数据-基础表'!AC5</f>
        <v>1137.8599999999999</v>
      </c>
      <c r="D27">
        <v>1500</v>
      </c>
    </row>
    <row r="30" spans="2:6">
      <c r="C30">
        <v>0.25</v>
      </c>
      <c r="D30">
        <f>'数据-汇总表'!D3-'数据-汇总表'!E3</f>
        <v>17917.119999999995</v>
      </c>
      <c r="E30">
        <f>C30*D30/'数据-汇总表'!E3</f>
        <v>9.9474609688163559E-2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1640</v>
      </c>
      <c r="B2" s="2975" t="s">
        <v>1641</v>
      </c>
      <c r="C2" s="2975" t="s">
        <v>1642</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6" t="s">
        <v>1637</v>
      </c>
      <c r="E3" s="1046" t="s">
        <v>1643</v>
      </c>
      <c r="F3" s="1046" t="s">
        <v>1637</v>
      </c>
      <c r="G3" s="1046" t="s">
        <v>1638</v>
      </c>
      <c r="H3" s="1046" t="s">
        <v>1637</v>
      </c>
      <c r="I3" s="1046" t="s">
        <v>1638</v>
      </c>
    </row>
    <row r="4" spans="1:9" ht="45">
      <c r="A4" s="1975" t="str">
        <f>项目基本情况!S2</f>
        <v>河北省廊坊市廊坊开发区华祥路东侧、耀华道北侧工业用房房地产</v>
      </c>
      <c r="B4" s="1046">
        <f>项目基本情况!C17</f>
        <v>45029.380000000005</v>
      </c>
      <c r="C4" s="1046">
        <f>项目基本情况!C18</f>
        <v>62946.5</v>
      </c>
      <c r="D4" s="1046">
        <f ca="1">结果表!D118</f>
        <v>6757</v>
      </c>
      <c r="E4" s="1046">
        <f ca="1">结果表!E118</f>
        <v>1501</v>
      </c>
      <c r="F4" s="1046">
        <f ca="1">结果表!F118</f>
        <v>16305</v>
      </c>
      <c r="G4" s="1046">
        <f ca="1">结果表!G118</f>
        <v>3621</v>
      </c>
      <c r="H4" s="1046">
        <f ca="1">结果表!H118</f>
        <v>23062</v>
      </c>
      <c r="I4" s="1046">
        <f ca="1">结果表!I118</f>
        <v>5122</v>
      </c>
    </row>
    <row r="5" spans="1:9" ht="30" customHeight="1">
      <c r="A5" s="2976" t="s">
        <v>1639</v>
      </c>
      <c r="B5" s="2976"/>
      <c r="C5" s="2976"/>
      <c r="D5" s="2977" t="str">
        <f ca="1">结果表!D119</f>
        <v>陆仟柒佰伍拾柒万元整</v>
      </c>
      <c r="E5" s="2977"/>
      <c r="F5" s="2977" t="str">
        <f ca="1">结果表!F119</f>
        <v>壹亿陆仟叁佰零伍万元整</v>
      </c>
      <c r="G5" s="2977"/>
      <c r="H5" s="2977" t="str">
        <f ca="1">结果表!H119</f>
        <v>贰亿叁仟零陆拾贰万元整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1639</v>
      </c>
      <c r="B7" s="2976"/>
      <c r="C7" s="2976"/>
      <c r="D7" s="2979" t="str">
        <f>结果表!D121</f>
        <v>零元整</v>
      </c>
      <c r="E7" s="2980"/>
      <c r="F7" s="2980"/>
      <c r="G7" s="2980"/>
      <c r="H7" s="2980"/>
      <c r="I7" s="2981"/>
    </row>
    <row r="8" spans="1:9" ht="15.75">
      <c r="A8" s="2978" t="str">
        <f>结果表!A122</f>
        <v>房地产抵押价值</v>
      </c>
      <c r="B8" s="2978"/>
      <c r="C8" s="2978"/>
      <c r="D8" s="2978">
        <f ca="1">结果表!D122</f>
        <v>23062</v>
      </c>
      <c r="E8" s="2978"/>
      <c r="F8" s="2978"/>
      <c r="G8" s="2978"/>
      <c r="H8" s="2978"/>
      <c r="I8" s="2978"/>
    </row>
    <row r="9" spans="1:9" ht="15">
      <c r="A9" s="2976" t="s">
        <v>1639</v>
      </c>
      <c r="B9" s="2976"/>
      <c r="C9" s="2976"/>
      <c r="D9" s="2977" t="str">
        <f ca="1">结果表!D123</f>
        <v>贰亿叁仟零陆拾贰万元整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1639</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1639</v>
      </c>
      <c r="B13" s="2982"/>
      <c r="C13" s="2982"/>
      <c r="D13" s="2983" t="e">
        <f>结果表!D127</f>
        <v>#VALUE!</v>
      </c>
      <c r="E13" s="2983"/>
      <c r="F13" s="2983"/>
      <c r="G13" s="2983"/>
      <c r="H13" s="2983"/>
      <c r="I13" s="2983"/>
    </row>
    <row r="14" spans="1:9" ht="15" thickTop="1">
      <c r="A14" s="2984" t="s">
        <v>1644</v>
      </c>
      <c r="B14" s="2984"/>
      <c r="C14" s="2984"/>
      <c r="D14" s="2984"/>
      <c r="E14" s="2984"/>
      <c r="F14" s="2984"/>
      <c r="G14" s="2984"/>
      <c r="H14" s="2984"/>
      <c r="I14" s="2984"/>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5" t="s">
        <v>1661</v>
      </c>
      <c r="B1" s="2985"/>
      <c r="C1" s="2985"/>
      <c r="D1" s="2985"/>
    </row>
    <row r="2" spans="1:4" ht="18">
      <c r="A2" s="2986" t="s">
        <v>1645</v>
      </c>
      <c r="B2" s="2986"/>
      <c r="C2" s="2986"/>
      <c r="D2" s="2986"/>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2986" t="s">
        <v>1651</v>
      </c>
      <c r="B6" s="2986"/>
      <c r="C6" s="2986"/>
      <c r="D6" s="2986"/>
    </row>
    <row r="7" spans="1:4" ht="18.75">
      <c r="A7" s="1979" t="s">
        <v>1646</v>
      </c>
      <c r="B7" s="1981" t="s">
        <v>1652</v>
      </c>
      <c r="C7" s="1979" t="s">
        <v>1648</v>
      </c>
      <c r="D7" s="1979" t="s">
        <v>1649</v>
      </c>
    </row>
    <row r="8" spans="1:4" ht="56.25" customHeight="1">
      <c r="A8" s="1985" t="s">
        <v>868</v>
      </c>
      <c r="B8" s="1985" t="s">
        <v>1</v>
      </c>
      <c r="C8" s="1982"/>
      <c r="D8" s="1983" t="s">
        <v>1650</v>
      </c>
    </row>
    <row r="9" spans="1:4">
      <c r="A9" s="728"/>
      <c r="B9" s="728"/>
      <c r="C9" s="728"/>
      <c r="D9" s="728"/>
    </row>
    <row r="10" spans="1:4" ht="18.75">
      <c r="A10" s="1986" t="s">
        <v>1653</v>
      </c>
      <c r="B10" s="728"/>
      <c r="C10" s="728"/>
      <c r="D10" s="728"/>
    </row>
    <row r="11" spans="1:4" ht="30" customHeight="1">
      <c r="A11" s="2987" t="s">
        <v>1654</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（1）根据估价对象《不动产权证书》复印件、，截至价值时点，估价对象抵押权未见登记。</v>
      </c>
      <c r="B15" s="2988"/>
      <c r="C15" s="2988"/>
      <c r="D15" s="2988"/>
    </row>
    <row r="16" spans="1:4" ht="30" customHeight="1">
      <c r="A16" s="2991" t="s">
        <v>1655</v>
      </c>
      <c r="B16" s="2991"/>
      <c r="C16" s="2991"/>
      <c r="D16" s="2991"/>
    </row>
    <row r="17" spans="1:4" ht="144" customHeight="1">
      <c r="A17" s="2991" t="s">
        <v>1656</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1657</v>
      </c>
      <c r="B22" s="2993"/>
      <c r="C22" s="2993"/>
      <c r="D22" s="2993"/>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81</v>
      </c>
      <c r="B3" s="1977" t="s">
        <v>1663</v>
      </c>
      <c r="G3" s="1994"/>
    </row>
    <row r="4" spans="1:7">
      <c r="G4" s="1994"/>
    </row>
    <row r="5" spans="1:7">
      <c r="A5" s="1996" t="s">
        <v>72</v>
      </c>
      <c r="B5" s="1977" t="s">
        <v>1664</v>
      </c>
      <c r="G5" s="1994"/>
    </row>
    <row r="6" spans="1:7">
      <c r="G6" s="1994"/>
    </row>
    <row r="7" spans="1:7">
      <c r="A7" s="1997" t="s">
        <v>134</v>
      </c>
      <c r="B7" s="1977" t="s">
        <v>1665</v>
      </c>
      <c r="G7" s="1994"/>
    </row>
    <row r="8" spans="1:7">
      <c r="G8" s="1994"/>
    </row>
    <row r="9" spans="1:7">
      <c r="A9" s="1998" t="s">
        <v>73</v>
      </c>
      <c r="B9" s="1977" t="s">
        <v>1666</v>
      </c>
    </row>
    <row r="11" spans="1:7">
      <c r="A11" s="1999" t="s">
        <v>74</v>
      </c>
      <c r="B11" s="2000" t="s">
        <v>71</v>
      </c>
    </row>
    <row r="13" spans="1:7">
      <c r="A13" s="2001" t="s">
        <v>1667</v>
      </c>
    </row>
    <row r="15" spans="1:7" ht="13.5">
      <c r="A15" s="2999" t="s">
        <v>1668</v>
      </c>
      <c r="B15" s="2994" t="s">
        <v>135</v>
      </c>
      <c r="C15" s="2995"/>
    </row>
    <row r="16" spans="1:7" ht="13.5">
      <c r="A16" s="3000"/>
      <c r="B16" s="2994" t="s">
        <v>68</v>
      </c>
      <c r="C16" s="2995"/>
    </row>
    <row r="17" spans="1:3" ht="13.5">
      <c r="A17" s="3000"/>
      <c r="B17" s="2997" t="s">
        <v>1669</v>
      </c>
      <c r="C17" s="2002" t="s">
        <v>1668</v>
      </c>
    </row>
    <row r="18" spans="1:3" ht="13.5">
      <c r="A18" s="3000"/>
      <c r="B18" s="2997"/>
      <c r="C18" s="2002" t="s">
        <v>1670</v>
      </c>
    </row>
    <row r="19" spans="1:3" ht="13.5">
      <c r="A19" s="3000"/>
      <c r="B19" s="2997"/>
      <c r="C19" s="2002" t="s">
        <v>1671</v>
      </c>
    </row>
    <row r="20" spans="1:3" ht="13.5">
      <c r="A20" s="3001"/>
      <c r="B20" s="2996" t="s">
        <v>1672</v>
      </c>
      <c r="C20" s="2995"/>
    </row>
    <row r="21" spans="1:3" ht="13.5">
      <c r="A21" s="2003" t="s">
        <v>1673</v>
      </c>
      <c r="B21" s="2004"/>
      <c r="C21" s="2005"/>
    </row>
    <row r="22" spans="1:3" ht="13.5">
      <c r="A22" s="2998" t="s">
        <v>1674</v>
      </c>
      <c r="B22" s="2996" t="s">
        <v>1675</v>
      </c>
      <c r="C22" s="2995"/>
    </row>
    <row r="23" spans="1:3" ht="13.5">
      <c r="A23" s="2998"/>
      <c r="B23" s="2996" t="s">
        <v>1676</v>
      </c>
      <c r="C23" s="2995"/>
    </row>
    <row r="24" spans="1:3" ht="13.5">
      <c r="A24" s="2998"/>
      <c r="B24" s="2996" t="s">
        <v>1677</v>
      </c>
      <c r="C24" s="2995"/>
    </row>
    <row r="25" spans="1:3" ht="13.5">
      <c r="A25" s="2998"/>
      <c r="B25" s="2997" t="s">
        <v>1678</v>
      </c>
      <c r="C25" s="2002" t="s">
        <v>1679</v>
      </c>
    </row>
    <row r="26" spans="1:3" ht="13.5">
      <c r="A26" s="2998"/>
      <c r="B26" s="2997"/>
      <c r="C26" s="2002" t="s">
        <v>1680</v>
      </c>
    </row>
    <row r="27" spans="1:3" ht="13.5">
      <c r="A27" s="2998"/>
      <c r="B27" s="2997"/>
      <c r="C27" s="2002" t="s">
        <v>1681</v>
      </c>
    </row>
    <row r="28" spans="1:3" ht="13.5">
      <c r="A28" s="2998"/>
      <c r="B28" s="2997"/>
      <c r="C28" s="2002" t="s">
        <v>1682</v>
      </c>
    </row>
    <row r="29" spans="1:3" ht="13.5">
      <c r="A29" s="2998"/>
      <c r="B29" s="2997"/>
      <c r="C29" s="2002" t="s">
        <v>1683</v>
      </c>
    </row>
    <row r="30" spans="1:3" ht="13.5">
      <c r="A30" s="2998"/>
      <c r="B30" s="2997"/>
      <c r="C30" s="2002" t="s">
        <v>1684</v>
      </c>
    </row>
    <row r="31" spans="1:3" ht="13.5">
      <c r="A31" s="2998"/>
      <c r="B31" s="2997"/>
      <c r="C31" s="2002" t="s">
        <v>1685</v>
      </c>
    </row>
    <row r="32" spans="1:3" ht="13.5">
      <c r="A32" s="2998"/>
      <c r="B32" s="2997"/>
      <c r="C32" s="2002" t="s">
        <v>1686</v>
      </c>
    </row>
    <row r="33" spans="1:3" ht="13.5">
      <c r="A33" s="2998"/>
      <c r="B33" s="2997"/>
      <c r="C33" s="2002" t="s">
        <v>1687</v>
      </c>
    </row>
    <row r="34" spans="1:3">
      <c r="A34" s="2006" t="s">
        <v>75</v>
      </c>
    </row>
    <row r="37" spans="1:3">
      <c r="A37" s="2006" t="s">
        <v>1688</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43252</v>
      </c>
      <c r="C2" s="1022" t="s">
        <v>825</v>
      </c>
      <c r="D2" s="1022"/>
    </row>
    <row r="3" spans="1:6" ht="24" customHeight="1">
      <c r="A3" s="1023" t="s">
        <v>826</v>
      </c>
      <c r="B3" s="1024" t="s">
        <v>827</v>
      </c>
      <c r="C3" s="2346" t="s">
        <v>828</v>
      </c>
      <c r="D3" s="2349" t="s">
        <v>829</v>
      </c>
      <c r="E3" s="1025" t="s">
        <v>830</v>
      </c>
      <c r="F3" s="1024" t="s">
        <v>828</v>
      </c>
    </row>
    <row r="4" spans="1:6" ht="24" customHeight="1">
      <c r="A4" s="1704" t="s">
        <v>831</v>
      </c>
      <c r="B4" s="1025">
        <f ca="1">IF(C4&lt;B2,"已过期",1119970066)</f>
        <v>1119970066</v>
      </c>
      <c r="C4" s="2347">
        <v>43849</v>
      </c>
      <c r="D4" s="2350" t="s">
        <v>831</v>
      </c>
      <c r="E4" s="1025">
        <f ca="1">IF(F4&lt;B2,"已过期",96010014)</f>
        <v>96010014</v>
      </c>
      <c r="F4" s="1033">
        <v>47118</v>
      </c>
    </row>
    <row r="5" spans="1:6" ht="24" customHeight="1">
      <c r="A5" s="1704" t="s">
        <v>832</v>
      </c>
      <c r="B5" s="1025">
        <f ca="1">IF(C5&lt;B2,"已过期",1119970074)</f>
        <v>1119970074</v>
      </c>
      <c r="C5" s="2347">
        <v>43849</v>
      </c>
      <c r="D5" s="2350" t="s">
        <v>832</v>
      </c>
      <c r="E5" s="1025">
        <f ca="1">IF(F5&lt;B2,"已过期",2002110027)</f>
        <v>2002110027</v>
      </c>
      <c r="F5" s="1033">
        <v>46752</v>
      </c>
    </row>
    <row r="6" spans="1:6" ht="24" customHeight="1">
      <c r="A6" s="1704" t="s">
        <v>833</v>
      </c>
      <c r="B6" s="1025">
        <f ca="1">IF(C6&lt;B2,"已过期",1119970111)</f>
        <v>1119970111</v>
      </c>
      <c r="C6" s="2347">
        <v>43849</v>
      </c>
      <c r="D6" s="2350" t="s">
        <v>833</v>
      </c>
      <c r="E6" s="1025">
        <f ca="1">IF(F6&lt;B2,"已过期",94010078)</f>
        <v>94010078</v>
      </c>
      <c r="F6" s="1033">
        <v>46387</v>
      </c>
    </row>
    <row r="7" spans="1:6" ht="24" customHeight="1">
      <c r="A7" s="1704" t="s">
        <v>834</v>
      </c>
      <c r="B7" s="1025">
        <f ca="1">IF(C7&lt;B2,"已过期",1120050019)</f>
        <v>1120050019</v>
      </c>
      <c r="C7" s="2347">
        <v>43359</v>
      </c>
      <c r="D7" s="2350" t="s">
        <v>834</v>
      </c>
      <c r="E7" s="1025">
        <f ca="1">IF(F7&lt;B2,"已过期",2002110030)</f>
        <v>2002110030</v>
      </c>
      <c r="F7" s="1033">
        <v>46387</v>
      </c>
    </row>
    <row r="8" spans="1:6" ht="24" customHeight="1">
      <c r="A8" s="1704" t="s">
        <v>835</v>
      </c>
      <c r="B8" s="1025">
        <f ca="1">IF(C8&lt;B2,"已过期",1120000080)</f>
        <v>1120000080</v>
      </c>
      <c r="C8" s="2347">
        <v>43849</v>
      </c>
      <c r="D8" s="2350" t="s">
        <v>835</v>
      </c>
      <c r="E8" s="1025">
        <f ca="1">IF(F8&lt;B2,"已过期",2000110082)</f>
        <v>2000110082</v>
      </c>
      <c r="F8" s="1033">
        <v>46387</v>
      </c>
    </row>
    <row r="9" spans="1:6" ht="24" customHeight="1">
      <c r="A9" s="1704" t="s">
        <v>836</v>
      </c>
      <c r="B9" s="1025">
        <f ca="1">IF(C9&lt;B2,"已过期",1419970001)</f>
        <v>1419970001</v>
      </c>
      <c r="C9" s="2347">
        <v>43867</v>
      </c>
      <c r="D9" s="2350" t="s">
        <v>836</v>
      </c>
      <c r="E9" s="1025">
        <f ca="1">IF(F9&lt;B2,"已过期",2002110125)</f>
        <v>2002110125</v>
      </c>
      <c r="F9" s="1033">
        <v>47118</v>
      </c>
    </row>
    <row r="10" spans="1:6" ht="24" customHeight="1">
      <c r="A10" s="1704" t="s">
        <v>837</v>
      </c>
      <c r="B10" s="1025">
        <f ca="1">IF(C10&lt;B2,"已过期",1120060040)</f>
        <v>1120060040</v>
      </c>
      <c r="C10" s="2347">
        <v>43483</v>
      </c>
      <c r="D10" s="2350" t="s">
        <v>837</v>
      </c>
      <c r="E10" s="1025">
        <f ca="1">IF(F10&lt;B2,"已过期",2004110096)</f>
        <v>2004110096</v>
      </c>
      <c r="F10" s="1033">
        <v>47118</v>
      </c>
    </row>
    <row r="11" spans="1:6" ht="24" customHeight="1">
      <c r="A11" s="1704" t="s">
        <v>838</v>
      </c>
      <c r="B11" s="1025">
        <f ca="1">IF(C11&lt;B2,"已过期",1120100036)</f>
        <v>1120100036</v>
      </c>
      <c r="C11" s="2347">
        <v>43622</v>
      </c>
      <c r="D11" s="2350" t="s">
        <v>838</v>
      </c>
      <c r="E11" s="1025">
        <f ca="1">IF(F11&lt;B2,"已过期",2010110070)</f>
        <v>2010110070</v>
      </c>
      <c r="F11" s="1033">
        <v>47907</v>
      </c>
    </row>
    <row r="12" spans="1:6" ht="24" customHeight="1">
      <c r="A12" s="1704" t="s">
        <v>3002</v>
      </c>
      <c r="B12" s="1025">
        <v>1120110054</v>
      </c>
      <c r="C12" s="2941">
        <v>43937</v>
      </c>
      <c r="D12" s="1704" t="s">
        <v>3002</v>
      </c>
      <c r="E12" s="1025">
        <v>2008110060</v>
      </c>
      <c r="F12" s="1033">
        <v>47177</v>
      </c>
    </row>
    <row r="13" spans="1:6" ht="24" customHeight="1">
      <c r="A13" s="1704" t="s">
        <v>839</v>
      </c>
      <c r="B13" s="1025">
        <f ca="1">IF(C13&lt;B2,"已过期",1120070131)</f>
        <v>1120070131</v>
      </c>
      <c r="C13" s="2347">
        <v>43814</v>
      </c>
      <c r="D13" s="2350" t="s">
        <v>839</v>
      </c>
      <c r="E13" s="1025">
        <v>2014110011</v>
      </c>
      <c r="F13" s="1033">
        <v>49302</v>
      </c>
    </row>
    <row r="14" spans="1:6" ht="24" customHeight="1">
      <c r="A14" s="1704" t="s">
        <v>840</v>
      </c>
      <c r="B14" s="1025">
        <f ca="1">IF(C14&lt;B2,"已过期",1120130020)</f>
        <v>1120130020</v>
      </c>
      <c r="C14" s="2347">
        <v>43622</v>
      </c>
      <c r="D14" s="2350"/>
      <c r="E14" s="1025"/>
      <c r="F14" s="1025"/>
    </row>
    <row r="15" spans="1:6" ht="24" customHeight="1">
      <c r="A15" s="1705" t="s">
        <v>1148</v>
      </c>
      <c r="B15" s="1025">
        <v>1120070085</v>
      </c>
      <c r="C15" s="2347">
        <v>43814</v>
      </c>
      <c r="D15" s="2351" t="s">
        <v>1148</v>
      </c>
      <c r="E15" s="1025">
        <v>2004110128</v>
      </c>
      <c r="F15" s="1026">
        <v>47118</v>
      </c>
    </row>
    <row r="16" spans="1:6" ht="24" customHeight="1">
      <c r="A16" s="1704" t="s">
        <v>841</v>
      </c>
      <c r="B16" s="1025">
        <f ca="1">IF(C16&lt;B2,"已过期",1120140022)</f>
        <v>1120140022</v>
      </c>
      <c r="C16" s="2347">
        <v>44029</v>
      </c>
      <c r="D16" s="2350" t="s">
        <v>841</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842</v>
      </c>
      <c r="E21" s="1025">
        <f ca="1">IF(F21&lt;B2,"已过期",2011110090)</f>
        <v>2011110090</v>
      </c>
      <c r="F21" s="1033">
        <v>48302</v>
      </c>
    </row>
    <row r="22" spans="1:7" ht="24" customHeight="1">
      <c r="A22" s="1704" t="s">
        <v>843</v>
      </c>
      <c r="B22" s="1025">
        <f ca="1">IF(C22&lt;B2,"已过期",1120020033)</f>
        <v>1120020033</v>
      </c>
      <c r="C22" s="2347">
        <v>43304</v>
      </c>
      <c r="D22" s="2350" t="s">
        <v>843</v>
      </c>
      <c r="E22" s="1025">
        <f ca="1">IF(F22&lt;B2,"已过期",2000110137)</f>
        <v>2000110137</v>
      </c>
      <c r="F22" s="1033">
        <v>46387</v>
      </c>
    </row>
    <row r="23" spans="1:7" ht="24" customHeight="1">
      <c r="A23" s="1704" t="s">
        <v>844</v>
      </c>
      <c r="B23" s="1025">
        <f ca="1">IF(C23&lt;B2,"已过期",1120130048)</f>
        <v>1120130048</v>
      </c>
      <c r="C23" s="2347">
        <v>43686</v>
      </c>
      <c r="D23" s="2350"/>
      <c r="E23" s="1025"/>
      <c r="F23" s="1025"/>
    </row>
    <row r="24" spans="1:7" s="1027" customFormat="1" ht="24" customHeight="1">
      <c r="A24" s="1705" t="s">
        <v>1332</v>
      </c>
      <c r="B24" s="1705" t="s">
        <v>1332</v>
      </c>
      <c r="C24" s="2348" t="s">
        <v>1332</v>
      </c>
      <c r="D24" s="2351" t="s">
        <v>1332</v>
      </c>
      <c r="E24" s="1705" t="s">
        <v>1332</v>
      </c>
      <c r="F24" s="1705" t="s">
        <v>1332</v>
      </c>
    </row>
    <row r="25" spans="1:7" ht="24" customHeight="1">
      <c r="A25" s="3002" t="s">
        <v>845</v>
      </c>
      <c r="B25" s="3002"/>
      <c r="C25" s="3002"/>
      <c r="D25" s="3002"/>
      <c r="E25" s="3002"/>
      <c r="F25" s="3002"/>
      <c r="G25" s="3002"/>
    </row>
    <row r="26" spans="1:7" s="1028" customFormat="1" ht="24" customHeight="1">
      <c r="A26" s="3003" t="s">
        <v>846</v>
      </c>
      <c r="B26" s="3003"/>
      <c r="C26" s="3004"/>
      <c r="D26" s="3005" t="s">
        <v>847</v>
      </c>
      <c r="E26" s="3003"/>
      <c r="F26" s="3003"/>
    </row>
    <row r="27" spans="1:7" s="1030" customFormat="1" ht="24" customHeight="1">
      <c r="A27" s="1029" t="s">
        <v>848</v>
      </c>
      <c r="B27" s="1024" t="s">
        <v>849</v>
      </c>
      <c r="C27" s="2346" t="s">
        <v>850</v>
      </c>
      <c r="D27" s="2354" t="s">
        <v>848</v>
      </c>
      <c r="E27" s="1024" t="s">
        <v>849</v>
      </c>
      <c r="F27" s="1024" t="s">
        <v>850</v>
      </c>
    </row>
    <row r="28" spans="1:7" s="1030" customFormat="1" ht="24" customHeight="1">
      <c r="A28" s="1031" t="s">
        <v>851</v>
      </c>
      <c r="B28" s="1032" t="s">
        <v>852</v>
      </c>
      <c r="C28" s="2352">
        <v>43725</v>
      </c>
      <c r="D28" s="2355" t="s">
        <v>853</v>
      </c>
      <c r="E28" s="1031" t="s">
        <v>854</v>
      </c>
      <c r="F28" s="1060">
        <v>44377</v>
      </c>
    </row>
    <row r="29" spans="1:7" s="1030" customFormat="1" ht="24" customHeight="1">
      <c r="A29" s="1031"/>
      <c r="B29" s="1031"/>
      <c r="C29" s="2353"/>
      <c r="D29" s="2355" t="s">
        <v>855</v>
      </c>
      <c r="E29" s="1204" t="s">
        <v>1383</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2018-06-01T01:30:14Z</dcterms:modified>
</cp:coreProperties>
</file>