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2)" sheetId="83" state="hidden" r:id="rId23"/>
    <sheet name="成本法 (3)" sheetId="84"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7" sheetId="79" state="hidden" r:id="rId34"/>
    <sheet name="收益法（汇总）" sheetId="70"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地案例" sheetId="78"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合计表" sheetId="85" r:id="rId50"/>
    <sheet name="3号楼面积清单" sheetId="86" r:id="rId51"/>
    <sheet name="6号楼面积清单" sheetId="88" r:id="rId52"/>
    <sheet name="7号楼面积清单" sheetId="87" r:id="rId53"/>
  </sheets>
  <externalReferences>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3">'收益法-7'!$A$1:$AK$69</definedName>
    <definedName name="_xlnm.Print_Area" localSheetId="14">'数据-汇总表'!$A$1:$P$32</definedName>
    <definedName name="八级">区片价!$O$1:$O$40</definedName>
    <definedName name="办公层高" localSheetId="13">'[1]比较法-办公'!$B$119:$M$119</definedName>
    <definedName name="办公层高" localSheetId="42">'[1]比较法-办公'!$B$119:$M$119</definedName>
    <definedName name="办公层高">'比较法-办公'!$B$119:$M$119</definedName>
    <definedName name="办公朝向" localSheetId="13">'[1]比较法-办公'!$B$91:$M$91</definedName>
    <definedName name="办公朝向" localSheetId="42">'[1]比较法-办公'!$B$91:$M$91</definedName>
    <definedName name="办公朝向">'比较法-办公'!$B$91:$M$91</definedName>
    <definedName name="办公道路级别" localSheetId="13">'[1]比较法-办公'!$B$87:$M$87</definedName>
    <definedName name="办公道路级别" localSheetId="42">'[1]比较法-办公'!$B$87:$M$87</definedName>
    <definedName name="办公道路级别">'比较法-办公'!$B$87:$M$87</definedName>
    <definedName name="办公公共部分装修" localSheetId="13">'[1]比较法-办公'!$B$108:$M$108</definedName>
    <definedName name="办公公共部分装修" localSheetId="42">'[1]比较法-办公'!$B$108:$M$108</definedName>
    <definedName name="办公公共部分装修">'比较法-办公'!$B$108:$M$108</definedName>
    <definedName name="办公基础设施水平" localSheetId="13">'[1]比较法-办公'!$B$117:$M$117</definedName>
    <definedName name="办公基础设施水平" localSheetId="42">'[1]比较法-办公'!$B$117:$M$117</definedName>
    <definedName name="办公基础设施水平">'比较法-办公'!$B$117:$M$117</definedName>
    <definedName name="办公集聚程度" localSheetId="13">[1]定义!$M$1:$M$6</definedName>
    <definedName name="办公集聚程度" localSheetId="42">[1]定义!$M$1:$M$6</definedName>
    <definedName name="办公集聚程度">定义!$M$1:$M$6</definedName>
    <definedName name="办公建筑结构" localSheetId="13">'[1]比较法-办公'!$B$106:$M$106</definedName>
    <definedName name="办公建筑结构" localSheetId="42">'[1]比较法-办公'!$B$106:$M$106</definedName>
    <definedName name="办公建筑结构">'比较法-办公'!$B$106:$M$106</definedName>
    <definedName name="办公建筑类型" localSheetId="13">'[1]比较法-办公'!$B$101:$M$101</definedName>
    <definedName name="办公建筑类型" localSheetId="42">'[1]比较法-办公'!$B$101:$M$101</definedName>
    <definedName name="办公建筑类型">'比较法-办公'!$B$101:$M$101</definedName>
    <definedName name="办公交易情况" localSheetId="13">'[1]比较法-办公'!$A$62:$M$62</definedName>
    <definedName name="办公交易情况" localSheetId="42">'[1]比较法-办公'!$A$62:$M$62</definedName>
    <definedName name="办公交易情况">'比较法-办公'!$A$62:$M$62</definedName>
    <definedName name="办公楼层" localSheetId="13">'[1]比较法-办公'!$B$89:$M$89</definedName>
    <definedName name="办公楼层" localSheetId="42">'[1]比较法-办公'!$B$89:$M$89</definedName>
    <definedName name="办公楼层">'比较法-办公'!$B$89:$M$89</definedName>
    <definedName name="办公内部装修" localSheetId="13">'[1]比较法-办公'!$B$123:$M$123</definedName>
    <definedName name="办公内部装修" localSheetId="42">'[1]比较法-办公'!$B$123:$M$123</definedName>
    <definedName name="办公内部装修">'比较法-办公'!$B$123:$M$123</definedName>
    <definedName name="办公物业管理" localSheetId="13">'[1]比较法-办公'!$B$115:$M$115</definedName>
    <definedName name="办公物业管理" localSheetId="42">'[1]比较法-办公'!$B$115:$M$115</definedName>
    <definedName name="办公物业管理">'比较法-办公'!$B$115:$M$115</definedName>
    <definedName name="办公用途" localSheetId="13">'[1]比较法-办公'!$B$64:$M$64</definedName>
    <definedName name="办公用途" localSheetId="42">'[1]比较法-办公'!$B$64:$M$64</definedName>
    <definedName name="办公用途">'比较法-办公'!$B$64:$M$64</definedName>
    <definedName name="仓储公共部分装修" localSheetId="13">'[1]比较法-仓储'!$B$77:$M$77</definedName>
    <definedName name="仓储公共部分装修" localSheetId="42">'[1]比较法-仓储'!$B$77:$M$77</definedName>
    <definedName name="仓储公共部分装修">'比较法-仓储'!$B$77:$M$77</definedName>
    <definedName name="仓储交易情况" localSheetId="13">'[1]比较法-仓储'!$A$49:$M$49</definedName>
    <definedName name="仓储交易情况" localSheetId="42">'[1]比较法-仓储'!$A$49:$M$49</definedName>
    <definedName name="仓储交易情况">'比较法-仓储'!$A$49:$M$49</definedName>
    <definedName name="仓储楼层" localSheetId="13">'[1]比较法-仓储'!$B$69:$M$69</definedName>
    <definedName name="仓储楼层" localSheetId="42">'[1]比较法-仓储'!$B$69:$M$69</definedName>
    <definedName name="仓储楼层">'比较法-仓储'!$B$69:$M$69</definedName>
    <definedName name="仓储物业等级" localSheetId="13">'[1]比较法-仓储'!$B$82:$M$82</definedName>
    <definedName name="仓储物业等级" localSheetId="42">'[1]比较法-仓储'!$B$82:$M$82</definedName>
    <definedName name="仓储物业等级">'比较法-仓储'!$B$82:$M$82</definedName>
    <definedName name="仓储用途" localSheetId="13">'[1]比较法-仓储'!$B$51:$M$51</definedName>
    <definedName name="仓储用途" localSheetId="42">'[1]比较法-仓储'!$B$51:$M$51</definedName>
    <definedName name="仓储用途">'比较法-仓储'!$B$51:$M$51</definedName>
    <definedName name="产业集聚程度" localSheetId="13">[1]定义!$N$1:$N$6</definedName>
    <definedName name="产业集聚程度" localSheetId="42">[1]定义!$N$1:$N$6</definedName>
    <definedName name="产业集聚程度">定义!$N$1:$N$6</definedName>
    <definedName name="车位公共部分装修" localSheetId="13">'[1]比较法-车位'!$B$83:$M$83</definedName>
    <definedName name="车位公共部分装修" localSheetId="42">'[1]比较法-车位'!$B$83:$M$83</definedName>
    <definedName name="车位公共部分装修">'比较法-车位'!$B$83:$M$83</definedName>
    <definedName name="车位交易情况" localSheetId="13">'[1]比较法-车位'!$A$51:$M$51</definedName>
    <definedName name="车位交易情况" localSheetId="42">'[1]比较法-车位'!$A$51:$M$51</definedName>
    <definedName name="车位交易情况">'比较法-车位'!$A$51:$M$51</definedName>
    <definedName name="车位类型" localSheetId="13">'[1]比较法-车位'!$B$93:$M$93</definedName>
    <definedName name="车位类型" localSheetId="42">'[1]比较法-车位'!$B$93:$M$93</definedName>
    <definedName name="车位类型">'比较法-车位'!$B$93:$M$93</definedName>
    <definedName name="车位楼层" localSheetId="13">'[1]比较法-车位'!$B$71:$M$71</definedName>
    <definedName name="车位楼层" localSheetId="42">'[1]比较法-车位'!$B$71:$M$71</definedName>
    <definedName name="车位楼层">'比较法-车位'!$B$71:$M$71</definedName>
    <definedName name="车位配套类型" localSheetId="13">'[1]比较法-车位'!$B$79:$M$79</definedName>
    <definedName name="车位配套类型" localSheetId="42">'[1]比较法-车位'!$B$79:$M$79</definedName>
    <definedName name="车位配套类型">'比较法-车位'!$B$79:$M$79</definedName>
    <definedName name="车位物业等级" localSheetId="13">'[1]比较法-车位'!$B$88:$M$88</definedName>
    <definedName name="车位物业等级" localSheetId="42">'[1]比较法-车位'!$B$88:$M$88</definedName>
    <definedName name="车位物业等级">'比较法-车位'!$B$88:$M$88</definedName>
    <definedName name="车位用途" localSheetId="13">'[1]比较法-车位'!$B$53:$M$53</definedName>
    <definedName name="车位用途" localSheetId="42">'[1]比较法-车位'!$B$53:$M$53</definedName>
    <definedName name="车位用途">'比较法-车位'!$B$53:$M$53</definedName>
    <definedName name="城镇土地纳税等级分级范围" localSheetId="13">'[1]数据-取费表'!$A$53:$A$63</definedName>
    <definedName name="城镇土地纳税等级分级范围" localSheetId="42">'[1]数据-取费表'!$A$53:$A$63</definedName>
    <definedName name="城镇土地纳税等级分级范围">'数据-取费表'!$A$53:$A$63</definedName>
    <definedName name="单价内涵" localSheetId="13">[1]定义!$V$1:$V$3</definedName>
    <definedName name="单价内涵" localSheetId="42">[1]定义!$V$1:$V$3</definedName>
    <definedName name="单价内涵">定义!$V$1:$V$3</definedName>
    <definedName name="地类判定" localSheetId="13">[1]定义!$H$1:$H$9</definedName>
    <definedName name="地类判定" localSheetId="42">[1]定义!$H$1:$H$9</definedName>
    <definedName name="地类判定">定义!$H$1:$H$9</definedName>
    <definedName name="二级">区片价!$I$1:$I$20</definedName>
    <definedName name="二级分类" localSheetId="13">[1]修正!$C$17:$C$39</definedName>
    <definedName name="二级分类" localSheetId="42">[1]修正!$C$17:$C$39</definedName>
    <definedName name="二级分类">修正!$C$17:$C$39</definedName>
    <definedName name="法定最高年限" localSheetId="13">[1]定义!$G$1:$G$4</definedName>
    <definedName name="法定最高年限" localSheetId="42">[1]定义!$G$1:$G$4</definedName>
    <definedName name="法定最高年限">定义!$G$1:$G$4</definedName>
    <definedName name="工业公共部分装修" localSheetId="13">'[1]比较法-工业'!$B$95:$M$95</definedName>
    <definedName name="工业公共部分装修" localSheetId="42">'[1]比较法-工业'!$B$95:$M$95</definedName>
    <definedName name="工业公共部分装修">'比较法-工业'!$B$95:$M$95</definedName>
    <definedName name="工业基础设施水平" localSheetId="13">'[1]比较法-工业'!$B$102:$M$102</definedName>
    <definedName name="工业基础设施水平" localSheetId="42">'[1]比较法-工业'!$B$102:$M$102</definedName>
    <definedName name="工业基础设施水平">'比较法-工业'!$B$102:$M$102</definedName>
    <definedName name="工业建筑结构" localSheetId="13">'[1]比较法-工业'!$B$93:$M$93</definedName>
    <definedName name="工业建筑结构" localSheetId="42">'[1]比较法-工业'!$B$93:$M$93</definedName>
    <definedName name="工业建筑结构">'比较法-工业'!$B$93:$M$93</definedName>
    <definedName name="工业建筑类型" localSheetId="13">'[1]比较法-工业'!$B$88:$M$88</definedName>
    <definedName name="工业建筑类型" localSheetId="42">'[1]比较法-工业'!$B$88:$M$88</definedName>
    <definedName name="工业建筑类型">'比较法-工业'!$B$88:$M$88</definedName>
    <definedName name="工业交易情况" localSheetId="13">'[1]比较法-工业'!$A$55:$M$55</definedName>
    <definedName name="工业交易情况" localSheetId="42">'[1]比较法-工业'!$A$55:$M$55</definedName>
    <definedName name="工业交易情况">'比较法-工业'!$A$55:$M$55</definedName>
    <definedName name="工业内部装修" localSheetId="13">'[1]比较法-工业'!$B$104:$M$104</definedName>
    <definedName name="工业内部装修" localSheetId="42">'[1]比较法-工业'!$B$104:$M$104</definedName>
    <definedName name="工业内部装修">'比较法-工业'!$B$104:$M$104</definedName>
    <definedName name="工业物业管理" localSheetId="13">'[1]比较法-工业'!$B$100:$M$100</definedName>
    <definedName name="工业物业管理" localSheetId="42">'[1]比较法-工业'!$B$100:$M$100</definedName>
    <definedName name="工业物业管理">'比较法-工业'!$B$100:$M$100</definedName>
    <definedName name="工业用途" localSheetId="13">'[1]比较法-工业'!$B$57:$M$57</definedName>
    <definedName name="工业用途" localSheetId="42">'[1]比较法-工业'!$B$57:$M$57</definedName>
    <definedName name="工业用途">'比较法-工业'!$B$57:$M$57</definedName>
    <definedName name="公共配套设施" localSheetId="13">[1]定义!$Q$1:$Q$6</definedName>
    <definedName name="公共配套设施" localSheetId="42">[1]定义!$Q$1:$Q$6</definedName>
    <definedName name="公共配套设施">定义!$Q$1:$Q$6</definedName>
    <definedName name="估价方法" localSheetId="13">[1]定义!$B$1:$B$50</definedName>
    <definedName name="估价方法" localSheetId="42">[1]定义!$B$1:$B$50</definedName>
    <definedName name="估价方法">定义!$B$1:$B$50</definedName>
    <definedName name="环境" localSheetId="13">[1]定义!$S$1:$S$6</definedName>
    <definedName name="环境" localSheetId="42">[1]定义!$S$1:$S$6</definedName>
    <definedName name="环境">定义!$S$1:$S$6</definedName>
    <definedName name="基础设施水平" localSheetId="13">[1]定义!$R$1:$R$6</definedName>
    <definedName name="基础设施水平" localSheetId="42">[1]定义!$R$1:$R$6</definedName>
    <definedName name="基础设施水平">定义!$R$1:$R$6</definedName>
    <definedName name="季度">基准地价修正!$Q$19:$AD$19</definedName>
    <definedName name="价值类型2" localSheetId="13">[1]定义!$B$54:$B$56</definedName>
    <definedName name="价值类型2" localSheetId="42">[1]定义!$B$54:$B$56</definedName>
    <definedName name="价值类型2">定义!$B$54:$B$56</definedName>
    <definedName name="交通便捷度" localSheetId="13">[1]定义!$O$1:$O$6</definedName>
    <definedName name="交通便捷度" localSheetId="42">[1]定义!$O$1:$O$6</definedName>
    <definedName name="交通便捷度">定义!$O$1:$O$6</definedName>
    <definedName name="九级">区片价!$P$1:$P$46</definedName>
    <definedName name="居住社区成熟度" localSheetId="13">[1]定义!$K$1:$K$6</definedName>
    <definedName name="居住社区成熟度" localSheetId="42">[1]定义!$K$1:$K$6</definedName>
    <definedName name="居住社区成熟度">定义!$K$1:$K$6</definedName>
    <definedName name="类别" localSheetId="13">[1]定义!$J$1:$J$3</definedName>
    <definedName name="类别" localSheetId="42">[1]定义!$J$1:$J$3</definedName>
    <definedName name="类别">定义!$J$1:$J$3</definedName>
    <definedName name="临街状况" localSheetId="13">[1]定义!$T$1:$T$5</definedName>
    <definedName name="临街状况" localSheetId="42">[1]定义!$T$1:$T$5</definedName>
    <definedName name="临街状况">定义!$T$1:$T$5</definedName>
    <definedName name="六级">区片价!$M$1:$M$49</definedName>
    <definedName name="内部装修维护情况" localSheetId="13">[1]定义!$U$1:$U$6</definedName>
    <definedName name="内部装修维护情况" localSheetId="42">[1]定义!$U$1:$U$6</definedName>
    <definedName name="内部装修维护情况">定义!$U$1:$U$6</definedName>
    <definedName name="判定" localSheetId="13">[1]定义!$D$1:$D$4</definedName>
    <definedName name="判定" localSheetId="42">[1]定义!$D$1:$D$4</definedName>
    <definedName name="判定">定义!$D$1:$D$4</definedName>
    <definedName name="七级">区片价!$N$1:$N$49</definedName>
    <definedName name="七通一平" localSheetId="13">[1]修正!$A$6:$A$14</definedName>
    <definedName name="七通一平" localSheetId="42">[1]修正!$A$6:$A$14</definedName>
    <definedName name="七通一平">修正!$A$6:$A$14</definedName>
    <definedName name="区域土地利用方向" localSheetId="13">[1]定义!$P$1:$P$6</definedName>
    <definedName name="区域土地利用方向" localSheetId="42">[1]定义!$P$1:$P$6</definedName>
    <definedName name="区域土地利用方向">定义!$P$1:$P$6</definedName>
    <definedName name="三级">区片价!$J$1:$J$21</definedName>
    <definedName name="商业层高" localSheetId="13">'[1]比较法-商业'!$B$116:$M$116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3">[1]定义!$L$1:$L$6</definedName>
    <definedName name="商业繁华度" localSheetId="42">[1]定义!$L$1:$L$6</definedName>
    <definedName name="商业繁华度">定义!$L$1:$L$6</definedName>
    <definedName name="商业公共部分装修" localSheetId="13">'[1]比较法-商业'!$B$107:$M$107</definedName>
    <definedName name="商业公共部分装修" localSheetId="42">'[1]比较法-商业'!$B$107:$M$107</definedName>
    <definedName name="商业公共部分装修">'比较法-商业'!$B$107:$M$107</definedName>
    <definedName name="商业基础设施水平" localSheetId="13">'[1]比较法-商业'!$B$112:$M$112</definedName>
    <definedName name="商业基础设施水平" localSheetId="42">'[1]比较法-商业'!$B$112:$M$112</definedName>
    <definedName name="商业基础设施水平">'比较法-商业'!$B$112:$M$112</definedName>
    <definedName name="商业建筑结构" localSheetId="13">'[1]比较法-商业'!$B$105:$M$105</definedName>
    <definedName name="商业建筑结构" localSheetId="42">'[1]比较法-商业'!$B$105:$M$105</definedName>
    <definedName name="商业建筑结构">'比较法-商业'!$B$105:$M$105</definedName>
    <definedName name="商业交易情况" localSheetId="13">'[1]比较法-商业'!$A$61:$M$61</definedName>
    <definedName name="商业交易情况" localSheetId="42">'[1]比较法-商业'!$A$61:$M$61</definedName>
    <definedName name="商业交易情况">'比较法-商业'!$A$61:$M$61</definedName>
    <definedName name="商业街名称" localSheetId="13">[1]修正!$C$59:$C$119</definedName>
    <definedName name="商业街名称" localSheetId="42">[1]修正!$C$59:$C$119</definedName>
    <definedName name="商业街名称">修正!$C$59:$C$119</definedName>
    <definedName name="商业进深比" localSheetId="13">'[1]比较法-商业'!$B$120:$M$120</definedName>
    <definedName name="商业进深比" localSheetId="42">'[1]比较法-商业'!$B$120:$M$120</definedName>
    <definedName name="商业进深比">'比较法-商业'!$B$120:$M$120</definedName>
    <definedName name="商业类型" localSheetId="13">'[1]比较法-商业'!$B$100:$M$100</definedName>
    <definedName name="商业类型" localSheetId="42">'[1]比较法-商业'!$B$100:$M$100</definedName>
    <definedName name="商业类型">'比较法-商业'!$B$100:$M$100</definedName>
    <definedName name="商业临街状况" localSheetId="13">'[1]比较法-商业'!$B$86:$M$86</definedName>
    <definedName name="商业临街状况" localSheetId="42">'[1]比较法-商业'!$B$86:$M$86</definedName>
    <definedName name="商业临街状况">'比较法-商业'!$B$86:$M$86</definedName>
    <definedName name="商业楼层" localSheetId="13">'[1]比较法-商业'!$B$92:$M$92</definedName>
    <definedName name="商业楼层" localSheetId="42">'[1]比较法-商业'!$B$92:$M$92</definedName>
    <definedName name="商业楼层">'比较法-商业'!$B$92:$M$92</definedName>
    <definedName name="商业内部装修" localSheetId="13">'[1]比较法-商业'!$B$122:$M$122</definedName>
    <definedName name="商业内部装修" localSheetId="42">'[1]比较法-商业'!$B$122:$M$122</definedName>
    <definedName name="商业内部装修">'比较法-商业'!$B$122:$M$122</definedName>
    <definedName name="商业人流量" localSheetId="13">'[1]比较法-商业'!$B$90:$M$90</definedName>
    <definedName name="商业人流量" localSheetId="42">'[1]比较法-商业'!$B$90:$M$90</definedName>
    <definedName name="商业人流量">'比较法-商业'!$B$90:$M$90</definedName>
    <definedName name="商业业态" localSheetId="13">'[1]比较法-商业'!$B$114:$M$114</definedName>
    <definedName name="商业业态" localSheetId="42">'[1]比较法-商业'!$B$114:$M$114</definedName>
    <definedName name="商业业态">'比较法-商业'!$B$114:$M$114</definedName>
    <definedName name="商业用途" localSheetId="13">'[1]比较法-商业'!$B$63:$M$63</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42">'[1]比较法-仓储'!$B$89:$M$89</definedName>
    <definedName name="是否封闭">'比较法-仓储'!$B$89:$M$89</definedName>
    <definedName name="是否直接入户" localSheetId="13">'[1]比较法-车位'!$B$95:$M$95</definedName>
    <definedName name="是否直接入户" localSheetId="42">'[1]比较法-车位'!$B$95:$M$95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42">'[1]土地比较法-工业'!$B$97:$M$97</definedName>
    <definedName name="套工道路等级">'土地比较法-工业'!$B$97:$M$97</definedName>
    <definedName name="套工地质条件" localSheetId="13">'[1]土地比较法-工业'!$B$114:$M$114</definedName>
    <definedName name="套工地质条件" localSheetId="42">'[1]土地比较法-工业'!$B$114:$M$114</definedName>
    <definedName name="套工地质条件">'土地比较法-工业'!$B$114:$M$114</definedName>
    <definedName name="套工交易情况" localSheetId="13">'[1]土地比较法-住宅、综合'!$A$73:$M$73</definedName>
    <definedName name="套工交易情况" localSheetId="42">'[1]土地比较法-住宅、综合'!$A$73:$M$73</definedName>
    <definedName name="套工交易情况">'土地比较法-住宅、综合'!$A$73:$M$73</definedName>
    <definedName name="套工土地级别" localSheetId="13">'[1]土地比较法-工业'!$B$99:$M$99</definedName>
    <definedName name="套工土地级别" localSheetId="42">'[1]土地比较法-工业'!$B$99:$M$99</definedName>
    <definedName name="套工土地级别">'土地比较法-工业'!$B$99:$M$99</definedName>
    <definedName name="套工用途" localSheetId="13">'[1]土地比较法-工业'!$B$70:$M$70</definedName>
    <definedName name="套工用途" localSheetId="42">'[1]土地比较法-工业'!$B$70:$M$70</definedName>
    <definedName name="套工用途">'土地比较法-工业'!$B$70:$M$70</definedName>
    <definedName name="套工宗地开发程度" localSheetId="13">'[1]土地比较法-工业'!$B$112:$M$112</definedName>
    <definedName name="套工宗地开发程度" localSheetId="42">'[1]土地比较法-工业'!$B$112:$M$112</definedName>
    <definedName name="套工宗地开发程度">'土地比较法-工业'!$B$112:$M$112</definedName>
    <definedName name="套工宗地形状" localSheetId="13">'[1]土地比较法-工业'!$B$110:$M$110</definedName>
    <definedName name="套工宗地形状" localSheetId="42">'[1]土地比较法-工业'!$B$110:$M$110</definedName>
    <definedName name="套工宗地形状">'土地比较法-工业'!$B$110:$M$110</definedName>
    <definedName name="套综道路等级" localSheetId="13">'[1]土地比较法-住宅、综合'!$B$106:$M$106</definedName>
    <definedName name="套综道路等级" localSheetId="42">'[1]土地比较法-住宅、综合'!$B$106:$M$106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42">'[1]土地比较法-住宅、综合'!$B$125:$M$125</definedName>
    <definedName name="套综工程地质条件">'土地比较法-住宅、综合'!$B$125:$M$125</definedName>
    <definedName name="套综交易情况" localSheetId="13">'[1]土地比较法-住宅、综合'!$A$73:$M$73</definedName>
    <definedName name="套综交易情况" localSheetId="42">'[1]土地比较法-住宅、综合'!$A$73:$M$73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42">'[1]土地比较法-住宅、综合'!$B$121:$M$121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42">'[1]土地比较法-住宅、综合'!$B$108:$M$108</definedName>
    <definedName name="套综土地级别">'土地比较法-住宅、综合'!$B$108:$M$108</definedName>
    <definedName name="套综用途" localSheetId="13">'[1]土地比较法-住宅、综合'!$B$75:$M$75</definedName>
    <definedName name="套综用途" localSheetId="42">'[1]土地比较法-住宅、综合'!$B$75:$M$75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42">'[1]土地比较法-住宅、综合'!$B$123:$M$123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42">[1]定义!$C$1:$C$14</definedName>
    <definedName name="土地级别">定义!$C$1:$C$14</definedName>
    <definedName name="土地利用方向">定义!$P$1:$P$6</definedName>
    <definedName name="土地年限区间" localSheetId="13">[1]定义!$I$1:$I$8</definedName>
    <definedName name="土地年限区间" localSheetId="42">[1]定义!$I$1:$I$8</definedName>
    <definedName name="土地年限区间">定义!$I$1:$I$8</definedName>
    <definedName name="位置" localSheetId="13">[1]定义!$E$2:$E$4</definedName>
    <definedName name="位置" localSheetId="42">[1]定义!$E$2:$E$4</definedName>
    <definedName name="位置">定义!$E$2:$E$4</definedName>
    <definedName name="五等判定" localSheetId="13">[1]定义!$W$1:$W$6</definedName>
    <definedName name="五等判定" localSheetId="42">[1]定义!$W$1:$W$6</definedName>
    <definedName name="五等判定">定义!$W$1:$W$6</definedName>
    <definedName name="五级">区片价!$L$1:$L$35</definedName>
    <definedName name="项目类型" localSheetId="13">'[1]数据-汇总表'!$C$17:$C$26</definedName>
    <definedName name="项目类型" localSheetId="42">'[1]数据-汇总表'!$C$17:$C$26</definedName>
    <definedName name="项目类型">'数据-汇总表'!$C$17:$C$26</definedName>
    <definedName name="写字楼等级" localSheetId="13">'[1]比较法-办公'!$B$113:$M$113</definedName>
    <definedName name="写字楼等级" localSheetId="42">'[1]比较法-办公'!$B$113:$M$113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42">[1]典型户型修正!$5:$5</definedName>
    <definedName name="一修多修正项2">典型户型修正!$5:$5</definedName>
    <definedName name="一修多修正项3" localSheetId="13">[1]典型户型修正!$7:$7</definedName>
    <definedName name="一修多修正项3" localSheetId="42">[1]典型户型修正!$7:$7</definedName>
    <definedName name="一修多修正项3">典型户型修正!$7:$7</definedName>
    <definedName name="一修多修正项4" localSheetId="13">[1]典型户型修正!$9:$9</definedName>
    <definedName name="一修多修正项4" localSheetId="42">[1]典型户型修正!$9:$9</definedName>
    <definedName name="一修多修正项4">典型户型修正!$9:$9</definedName>
    <definedName name="一修多修正项5" localSheetId="13">[1]典型户型修正!$11:$11</definedName>
    <definedName name="一修多修正项5" localSheetId="42">[1]典型户型修正!$11:$11</definedName>
    <definedName name="一修多修正项5">典型户型修正!$11:$11</definedName>
    <definedName name="一修多修正项6" localSheetId="13">[1]典型户型修正!$13:$13</definedName>
    <definedName name="一修多修正项6" localSheetId="42">[1]典型户型修正!$13:$13</definedName>
    <definedName name="一修多修正项6">典型户型修正!$13:$13</definedName>
    <definedName name="一修多修正项7" localSheetId="13">[1]典型户型修正!$15:$15</definedName>
    <definedName name="一修多修正项7" localSheetId="42">[1]典型户型修正!$15:$15</definedName>
    <definedName name="一修多修正项7">典型户型修正!$15:$15</definedName>
    <definedName name="一修多修正项8" localSheetId="13">[1]典型户型修正!$17:$17</definedName>
    <definedName name="一修多修正项8" localSheetId="42">[1]典型户型修正!$17:$17</definedName>
    <definedName name="一修多修正项8">典型户型修正!$17:$17</definedName>
    <definedName name="用途明细" localSheetId="13">[1]定义!$A$1:$A$50</definedName>
    <definedName name="用途明细" localSheetId="42">[1]定义!$A$1:$A$50</definedName>
    <definedName name="用途明细">定义!$A$1:$A$50</definedName>
    <definedName name="有无电梯" localSheetId="13">'[1]比较法-仓储'!$B$84:$M$84</definedName>
    <definedName name="有无电梯" localSheetId="42">'[1]比较法-仓储'!$B$84:$M$84</definedName>
    <definedName name="有无电梯">'比较法-仓储'!$B$84:$M$84</definedName>
    <definedName name="主用途" localSheetId="13">[1]定义!$F$1:$F$10</definedName>
    <definedName name="主用途" localSheetId="42">[1]定义!$F$1:$F$10</definedName>
    <definedName name="主用途">定义!$F$1:$F$10</definedName>
    <definedName name="住宅朝向" localSheetId="13">'[1]比较法-住宅'!$B$88:$M$88</definedName>
    <definedName name="住宅朝向" localSheetId="42">'[1]比较法-住宅'!$B$88:$M$88</definedName>
    <definedName name="住宅朝向">'比较法-住宅'!$B$88:$M$88</definedName>
    <definedName name="住宅房型" localSheetId="13">'[1]比较法-住宅'!$B$118:$M$118</definedName>
    <definedName name="住宅房型" localSheetId="42">'[1]比较法-住宅'!$B$118:$M$118</definedName>
    <definedName name="住宅房型">'比较法-住宅'!$B$118:$M$118</definedName>
    <definedName name="住宅公共部分装修" localSheetId="13">'[1]比较法-住宅'!$B$109:$M$109</definedName>
    <definedName name="住宅公共部分装修" localSheetId="42">'[1]比较法-住宅'!$B$109:$M$109</definedName>
    <definedName name="住宅公共部分装修">'比较法-住宅'!$B$109:$M$109</definedName>
    <definedName name="住宅基础设施水平" localSheetId="13">'[1]比较法-住宅'!$B$116:$M$116</definedName>
    <definedName name="住宅基础设施水平" localSheetId="42">'[1]比较法-住宅'!$B$116:$M$116</definedName>
    <definedName name="住宅基础设施水平">'比较法-住宅'!$B$116:$M$116</definedName>
    <definedName name="住宅建筑结构" localSheetId="13">'[1]比较法-住宅'!$B$105:$M$105</definedName>
    <definedName name="住宅建筑结构" localSheetId="42">'[1]比较法-住宅'!$B$105:$M$105</definedName>
    <definedName name="住宅建筑结构">'比较法-住宅'!$B$105:$M$105</definedName>
    <definedName name="住宅建筑类型" localSheetId="13">'[1]比较法-住宅'!$B$100:$M$100</definedName>
    <definedName name="住宅建筑类型" localSheetId="42">'[1]比较法-住宅'!$B$100:$M$100</definedName>
    <definedName name="住宅建筑类型">'比较法-住宅'!$B$100:$M$100</definedName>
    <definedName name="住宅建筑品质" localSheetId="13">'[1]比较法-住宅'!$B$107:$M$107</definedName>
    <definedName name="住宅建筑品质" localSheetId="42">'[1]比较法-住宅'!$B$107:$M$107</definedName>
    <definedName name="住宅建筑品质">'比较法-住宅'!$B$107:$M$107</definedName>
    <definedName name="住宅交易情况" localSheetId="13">'[1]比较法-住宅'!$A$61:$M$61</definedName>
    <definedName name="住宅交易情况" localSheetId="42">'[1]比较法-住宅'!$A$61:$M$61</definedName>
    <definedName name="住宅交易情况">'比较法-住宅'!$A$61:$M$61</definedName>
    <definedName name="住宅楼层" localSheetId="13">'[1]比较法-住宅'!$B$86:$M$86</definedName>
    <definedName name="住宅楼层" localSheetId="42">'[1]比较法-住宅'!$B$86:$M$86</definedName>
    <definedName name="住宅楼层">'比较法-住宅'!$B$86:$M$86</definedName>
    <definedName name="住宅内部装修" localSheetId="13">'[1]比较法-住宅'!$B$122:$M$122</definedName>
    <definedName name="住宅内部装修" localSheetId="42">'[1]比较法-住宅'!$B$122:$M$122</definedName>
    <definedName name="住宅内部装修">'比较法-住宅'!$B$122:$M$122</definedName>
    <definedName name="住宅物业管理" localSheetId="13">'[1]比较法-住宅'!$B$114:$M$114</definedName>
    <definedName name="住宅物业管理" localSheetId="42">'[1]比较法-住宅'!$B$114:$M$114</definedName>
    <definedName name="住宅物业管理">'比较法-住宅'!$B$114:$M$114</definedName>
    <definedName name="住宅用途" localSheetId="13">'[1]比较法-住宅'!$B$63:$M$63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38" i="6" l="1"/>
  <c r="F37" i="6"/>
  <c r="F36" i="6"/>
  <c r="C15" i="74"/>
  <c r="B15" i="74"/>
  <c r="M4" i="88" l="1"/>
  <c r="D15" i="74" l="1"/>
  <c r="G15" i="74" l="1"/>
  <c r="C38" i="39" l="1"/>
  <c r="C6" i="82" l="1"/>
  <c r="B6" i="82"/>
  <c r="G127" i="88"/>
  <c r="G131" i="88" s="1"/>
  <c r="F127" i="88"/>
  <c r="K126" i="88"/>
  <c r="J126" i="88"/>
  <c r="K125" i="88"/>
  <c r="J125" i="88"/>
  <c r="K124" i="88"/>
  <c r="J124" i="88"/>
  <c r="K123" i="88"/>
  <c r="J123" i="88"/>
  <c r="K122" i="88"/>
  <c r="J122" i="88"/>
  <c r="K121" i="88"/>
  <c r="J121" i="88"/>
  <c r="K120" i="88"/>
  <c r="J120" i="88"/>
  <c r="K119" i="88"/>
  <c r="J119" i="88"/>
  <c r="K118" i="88"/>
  <c r="J118" i="88"/>
  <c r="K117" i="88"/>
  <c r="J117" i="88"/>
  <c r="L116" i="88"/>
  <c r="L117" i="88" s="1"/>
  <c r="L118" i="88" s="1"/>
  <c r="L119" i="88" s="1"/>
  <c r="L120" i="88" s="1"/>
  <c r="L121" i="88" s="1"/>
  <c r="L122" i="88" s="1"/>
  <c r="L123" i="88" s="1"/>
  <c r="L124" i="88" s="1"/>
  <c r="L125" i="88" s="1"/>
  <c r="L126" i="88" s="1"/>
  <c r="K116" i="88"/>
  <c r="J116" i="88"/>
  <c r="L115" i="88"/>
  <c r="K115" i="88"/>
  <c r="J115" i="88"/>
  <c r="K114" i="88"/>
  <c r="J114" i="88"/>
  <c r="K113" i="88"/>
  <c r="J113" i="88"/>
  <c r="K112" i="88"/>
  <c r="J112" i="88"/>
  <c r="K111" i="88"/>
  <c r="J111" i="88"/>
  <c r="K110" i="88"/>
  <c r="J110" i="88"/>
  <c r="K109" i="88"/>
  <c r="J109" i="88"/>
  <c r="K108" i="88"/>
  <c r="J108" i="88"/>
  <c r="K107" i="88"/>
  <c r="J107" i="88"/>
  <c r="K106" i="88"/>
  <c r="J106" i="88"/>
  <c r="K105" i="88"/>
  <c r="J105" i="88"/>
  <c r="K104" i="88"/>
  <c r="J104" i="88"/>
  <c r="K103" i="88"/>
  <c r="J103" i="88"/>
  <c r="K102" i="88"/>
  <c r="J102" i="88"/>
  <c r="L101" i="88"/>
  <c r="L102" i="88" s="1"/>
  <c r="L103" i="88" s="1"/>
  <c r="L104" i="88" s="1"/>
  <c r="L105" i="88" s="1"/>
  <c r="L106" i="88" s="1"/>
  <c r="L107" i="88" s="1"/>
  <c r="L108" i="88" s="1"/>
  <c r="L109" i="88" s="1"/>
  <c r="L110" i="88" s="1"/>
  <c r="L111" i="88" s="1"/>
  <c r="L112" i="88" s="1"/>
  <c r="L113" i="88" s="1"/>
  <c r="K101" i="88"/>
  <c r="J101" i="88"/>
  <c r="K100" i="88"/>
  <c r="J100" i="88"/>
  <c r="K99" i="88"/>
  <c r="J99" i="88"/>
  <c r="K98" i="88"/>
  <c r="J98" i="88"/>
  <c r="K97" i="88"/>
  <c r="J97" i="88"/>
  <c r="K96" i="88"/>
  <c r="J96" i="88"/>
  <c r="K95" i="88"/>
  <c r="J95" i="88"/>
  <c r="K94" i="88"/>
  <c r="J94" i="88"/>
  <c r="K93" i="88"/>
  <c r="J93" i="88"/>
  <c r="K92" i="88"/>
  <c r="J92" i="88"/>
  <c r="K91" i="88"/>
  <c r="J91" i="88"/>
  <c r="K90" i="88"/>
  <c r="J90" i="88"/>
  <c r="K89" i="88"/>
  <c r="J89" i="88"/>
  <c r="L88" i="88"/>
  <c r="L89" i="88" s="1"/>
  <c r="L90" i="88" s="1"/>
  <c r="L91" i="88" s="1"/>
  <c r="L92" i="88" s="1"/>
  <c r="L93" i="88" s="1"/>
  <c r="L94" i="88" s="1"/>
  <c r="L95" i="88" s="1"/>
  <c r="L96" i="88" s="1"/>
  <c r="L97" i="88" s="1"/>
  <c r="L98" i="88" s="1"/>
  <c r="L99" i="88" s="1"/>
  <c r="K88" i="88"/>
  <c r="J88" i="88"/>
  <c r="L87" i="88"/>
  <c r="K87" i="88"/>
  <c r="J87" i="88"/>
  <c r="K86" i="88"/>
  <c r="J86" i="88"/>
  <c r="K85" i="88"/>
  <c r="J85" i="88"/>
  <c r="K84" i="88"/>
  <c r="J84" i="88"/>
  <c r="K83" i="88"/>
  <c r="J83" i="88"/>
  <c r="K82" i="88"/>
  <c r="J82" i="88"/>
  <c r="K81" i="88"/>
  <c r="J81" i="88"/>
  <c r="K80" i="88"/>
  <c r="J80" i="88"/>
  <c r="K79" i="88"/>
  <c r="J79" i="88"/>
  <c r="K78" i="88"/>
  <c r="J78" i="88"/>
  <c r="K77" i="88"/>
  <c r="J77" i="88"/>
  <c r="K76" i="88"/>
  <c r="J76" i="88"/>
  <c r="K75" i="88"/>
  <c r="J75" i="88"/>
  <c r="K74" i="88"/>
  <c r="J74" i="88"/>
  <c r="L73" i="88"/>
  <c r="L74" i="88" s="1"/>
  <c r="L75" i="88" s="1"/>
  <c r="L76" i="88" s="1"/>
  <c r="L77" i="88" s="1"/>
  <c r="L78" i="88" s="1"/>
  <c r="L79" i="88" s="1"/>
  <c r="L80" i="88" s="1"/>
  <c r="L81" i="88" s="1"/>
  <c r="L82" i="88" s="1"/>
  <c r="L83" i="88" s="1"/>
  <c r="L84" i="88" s="1"/>
  <c r="L85" i="88" s="1"/>
  <c r="K73" i="88"/>
  <c r="J73" i="88"/>
  <c r="K72" i="88"/>
  <c r="J72" i="88"/>
  <c r="K71" i="88"/>
  <c r="J71" i="88"/>
  <c r="K70" i="88"/>
  <c r="J70" i="88"/>
  <c r="K69" i="88"/>
  <c r="J69" i="88"/>
  <c r="K68" i="88"/>
  <c r="J68" i="88"/>
  <c r="K67" i="88"/>
  <c r="J67" i="88"/>
  <c r="K66" i="88"/>
  <c r="J66" i="88"/>
  <c r="K65" i="88"/>
  <c r="J65" i="88"/>
  <c r="K64" i="88"/>
  <c r="J64" i="88"/>
  <c r="K63" i="88"/>
  <c r="J63" i="88"/>
  <c r="K62" i="88"/>
  <c r="J62" i="88"/>
  <c r="K61" i="88"/>
  <c r="J61" i="88"/>
  <c r="L60" i="88"/>
  <c r="L61" i="88" s="1"/>
  <c r="L62" i="88" s="1"/>
  <c r="L63" i="88" s="1"/>
  <c r="L64" i="88" s="1"/>
  <c r="L65" i="88" s="1"/>
  <c r="L66" i="88" s="1"/>
  <c r="L67" i="88" s="1"/>
  <c r="L68" i="88" s="1"/>
  <c r="L69" i="88" s="1"/>
  <c r="L70" i="88" s="1"/>
  <c r="L71" i="88" s="1"/>
  <c r="K60" i="88"/>
  <c r="J60" i="88"/>
  <c r="L59" i="88"/>
  <c r="K59" i="88"/>
  <c r="J59" i="88"/>
  <c r="K58" i="88"/>
  <c r="J58" i="88"/>
  <c r="K57" i="88"/>
  <c r="J57" i="88"/>
  <c r="K56" i="88"/>
  <c r="J56" i="88"/>
  <c r="K55" i="88"/>
  <c r="J55" i="88"/>
  <c r="K54" i="88"/>
  <c r="J54" i="88"/>
  <c r="K53" i="88"/>
  <c r="J53" i="88"/>
  <c r="K52" i="88"/>
  <c r="J52" i="88"/>
  <c r="K51" i="88"/>
  <c r="J51" i="88"/>
  <c r="K50" i="88"/>
  <c r="J50" i="88"/>
  <c r="K49" i="88"/>
  <c r="J49" i="88"/>
  <c r="K48" i="88"/>
  <c r="J48" i="88"/>
  <c r="K47" i="88"/>
  <c r="J47" i="88"/>
  <c r="K46" i="88"/>
  <c r="J46" i="88"/>
  <c r="L45" i="88"/>
  <c r="L46" i="88" s="1"/>
  <c r="L47" i="88" s="1"/>
  <c r="L48" i="88" s="1"/>
  <c r="L49" i="88" s="1"/>
  <c r="L50" i="88" s="1"/>
  <c r="L51" i="88" s="1"/>
  <c r="L52" i="88" s="1"/>
  <c r="L53" i="88" s="1"/>
  <c r="L54" i="88" s="1"/>
  <c r="L55" i="88" s="1"/>
  <c r="L56" i="88" s="1"/>
  <c r="L57" i="88" s="1"/>
  <c r="K45" i="88"/>
  <c r="J45" i="88"/>
  <c r="K44" i="88"/>
  <c r="J44" i="88"/>
  <c r="K43" i="88"/>
  <c r="J43" i="88"/>
  <c r="K42" i="88"/>
  <c r="J42" i="88"/>
  <c r="K41" i="88"/>
  <c r="J41" i="88"/>
  <c r="K40" i="88"/>
  <c r="J40" i="88"/>
  <c r="K39" i="88"/>
  <c r="J39" i="88"/>
  <c r="K38" i="88"/>
  <c r="J38" i="88"/>
  <c r="K37" i="88"/>
  <c r="J37" i="88"/>
  <c r="K36" i="88"/>
  <c r="J36" i="88"/>
  <c r="K35" i="88"/>
  <c r="J35" i="88"/>
  <c r="K34" i="88"/>
  <c r="J34" i="88"/>
  <c r="K33" i="88"/>
  <c r="J33" i="88"/>
  <c r="L32" i="88"/>
  <c r="L33" i="88" s="1"/>
  <c r="L34" i="88" s="1"/>
  <c r="L35" i="88" s="1"/>
  <c r="L36" i="88" s="1"/>
  <c r="L37" i="88" s="1"/>
  <c r="L38" i="88" s="1"/>
  <c r="L39" i="88" s="1"/>
  <c r="L40" i="88" s="1"/>
  <c r="L41" i="88" s="1"/>
  <c r="L42" i="88" s="1"/>
  <c r="L43" i="88" s="1"/>
  <c r="K32" i="88"/>
  <c r="J32" i="88"/>
  <c r="L31" i="88"/>
  <c r="K31" i="88"/>
  <c r="J31" i="88"/>
  <c r="K30" i="88"/>
  <c r="J30" i="88"/>
  <c r="K29" i="88"/>
  <c r="J29" i="88"/>
  <c r="K28" i="88"/>
  <c r="J28" i="88"/>
  <c r="K27" i="88"/>
  <c r="J27" i="88"/>
  <c r="K26" i="88"/>
  <c r="J26" i="88"/>
  <c r="K25" i="88"/>
  <c r="J25" i="88"/>
  <c r="K24" i="88"/>
  <c r="J24" i="88"/>
  <c r="K23" i="88"/>
  <c r="J23" i="88"/>
  <c r="K22" i="88"/>
  <c r="J22" i="88"/>
  <c r="K21" i="88"/>
  <c r="J21" i="88"/>
  <c r="K20" i="88"/>
  <c r="J20" i="88"/>
  <c r="K19" i="88"/>
  <c r="J19" i="88"/>
  <c r="K18" i="88"/>
  <c r="J18" i="88"/>
  <c r="L17" i="88"/>
  <c r="L18" i="88" s="1"/>
  <c r="L19" i="88" s="1"/>
  <c r="L20" i="88" s="1"/>
  <c r="L21" i="88" s="1"/>
  <c r="L22" i="88" s="1"/>
  <c r="L23" i="88" s="1"/>
  <c r="L24" i="88" s="1"/>
  <c r="L25" i="88" s="1"/>
  <c r="L26" i="88" s="1"/>
  <c r="L27" i="88" s="1"/>
  <c r="L28" i="88" s="1"/>
  <c r="L29" i="88" s="1"/>
  <c r="K17" i="88"/>
  <c r="J17" i="88"/>
  <c r="K16" i="88"/>
  <c r="J16" i="88"/>
  <c r="K15" i="88"/>
  <c r="J15" i="88"/>
  <c r="K14" i="88"/>
  <c r="J14" i="88"/>
  <c r="K13" i="88"/>
  <c r="J13" i="88"/>
  <c r="K12" i="88"/>
  <c r="J12" i="88"/>
  <c r="K11" i="88"/>
  <c r="J11" i="88"/>
  <c r="K10" i="88"/>
  <c r="J10" i="88"/>
  <c r="K9" i="88"/>
  <c r="J9" i="88"/>
  <c r="K8" i="88"/>
  <c r="J8" i="88"/>
  <c r="K7" i="88"/>
  <c r="J7" i="88"/>
  <c r="L6" i="88"/>
  <c r="L7" i="88" s="1"/>
  <c r="L8" i="88" s="1"/>
  <c r="L9" i="88" s="1"/>
  <c r="L10" i="88" s="1"/>
  <c r="L11" i="88" s="1"/>
  <c r="L12" i="88" s="1"/>
  <c r="L13" i="88" s="1"/>
  <c r="L14" i="88" s="1"/>
  <c r="L15" i="88" s="1"/>
  <c r="K6" i="88"/>
  <c r="J6" i="88"/>
  <c r="L5" i="88"/>
  <c r="K5" i="88"/>
  <c r="J5" i="88"/>
  <c r="F19" i="6"/>
  <c r="A3" i="3"/>
  <c r="C7" i="82"/>
  <c r="B7" i="82"/>
  <c r="C3" i="82"/>
  <c r="B3" i="82"/>
  <c r="I14" i="3"/>
  <c r="I13" i="3"/>
  <c r="G123" i="87"/>
  <c r="F123" i="87"/>
  <c r="J122" i="87"/>
  <c r="J121" i="87"/>
  <c r="J120" i="87"/>
  <c r="J119" i="87"/>
  <c r="J118" i="87"/>
  <c r="J117" i="87"/>
  <c r="J116" i="87"/>
  <c r="J115" i="87"/>
  <c r="J114" i="87"/>
  <c r="J113" i="87"/>
  <c r="J112" i="87"/>
  <c r="L111" i="87"/>
  <c r="L112" i="87" s="1"/>
  <c r="L113" i="87" s="1"/>
  <c r="L114" i="87" s="1"/>
  <c r="L115" i="87" s="1"/>
  <c r="L116" i="87" s="1"/>
  <c r="L117" i="87" s="1"/>
  <c r="L118" i="87" s="1"/>
  <c r="L119" i="87" s="1"/>
  <c r="L120" i="87" s="1"/>
  <c r="L121" i="87" s="1"/>
  <c r="L122" i="87" s="1"/>
  <c r="J111" i="87"/>
  <c r="J110" i="87"/>
  <c r="J109" i="87"/>
  <c r="J108" i="87"/>
  <c r="J107" i="87"/>
  <c r="J106" i="87"/>
  <c r="J105" i="87"/>
  <c r="J104" i="87"/>
  <c r="J103" i="87"/>
  <c r="J102" i="87"/>
  <c r="J101" i="87"/>
  <c r="J100" i="87"/>
  <c r="J99" i="87"/>
  <c r="J98" i="87"/>
  <c r="L97" i="87"/>
  <c r="L98" i="87" s="1"/>
  <c r="L99" i="87" s="1"/>
  <c r="L100" i="87" s="1"/>
  <c r="L101" i="87" s="1"/>
  <c r="L102" i="87" s="1"/>
  <c r="L103" i="87" s="1"/>
  <c r="L104" i="87" s="1"/>
  <c r="L105" i="87" s="1"/>
  <c r="L106" i="87" s="1"/>
  <c r="L107" i="87" s="1"/>
  <c r="L108" i="87" s="1"/>
  <c r="L109" i="87" s="1"/>
  <c r="J97" i="87"/>
  <c r="J96" i="87"/>
  <c r="J95" i="87"/>
  <c r="J94" i="87"/>
  <c r="J93" i="87"/>
  <c r="J92" i="87"/>
  <c r="J91" i="87"/>
  <c r="J90" i="87"/>
  <c r="J89" i="87"/>
  <c r="J88" i="87"/>
  <c r="L87" i="87"/>
  <c r="L88" i="87" s="1"/>
  <c r="L89" i="87" s="1"/>
  <c r="L90" i="87" s="1"/>
  <c r="L91" i="87" s="1"/>
  <c r="L92" i="87" s="1"/>
  <c r="L93" i="87" s="1"/>
  <c r="L94" i="87" s="1"/>
  <c r="L95" i="87" s="1"/>
  <c r="J87" i="87"/>
  <c r="J86" i="87"/>
  <c r="J85" i="87"/>
  <c r="J84" i="87"/>
  <c r="J83" i="87"/>
  <c r="J82" i="87"/>
  <c r="J81" i="87"/>
  <c r="J80" i="87"/>
  <c r="J79" i="87"/>
  <c r="J78" i="87"/>
  <c r="J77" i="87"/>
  <c r="J76" i="87"/>
  <c r="J75" i="87"/>
  <c r="J74" i="87"/>
  <c r="L73" i="87"/>
  <c r="L74" i="87" s="1"/>
  <c r="L75" i="87" s="1"/>
  <c r="L76" i="87" s="1"/>
  <c r="L77" i="87" s="1"/>
  <c r="L78" i="87" s="1"/>
  <c r="L79" i="87" s="1"/>
  <c r="L80" i="87" s="1"/>
  <c r="L81" i="87" s="1"/>
  <c r="L82" i="87" s="1"/>
  <c r="L83" i="87" s="1"/>
  <c r="L84" i="87" s="1"/>
  <c r="L85" i="87" s="1"/>
  <c r="J73" i="87"/>
  <c r="J72" i="87"/>
  <c r="J71" i="87"/>
  <c r="J70" i="87"/>
  <c r="J69" i="87"/>
  <c r="J68" i="87"/>
  <c r="J67" i="87"/>
  <c r="J66" i="87"/>
  <c r="J65" i="87"/>
  <c r="J64" i="87"/>
  <c r="J63" i="87"/>
  <c r="J62" i="87"/>
  <c r="J61" i="87"/>
  <c r="J60" i="87"/>
  <c r="L59" i="87"/>
  <c r="L60" i="87" s="1"/>
  <c r="L61" i="87" s="1"/>
  <c r="L62" i="87" s="1"/>
  <c r="L63" i="87" s="1"/>
  <c r="L64" i="87" s="1"/>
  <c r="L65" i="87" s="1"/>
  <c r="L66" i="87" s="1"/>
  <c r="L67" i="87" s="1"/>
  <c r="L68" i="87" s="1"/>
  <c r="L69" i="87" s="1"/>
  <c r="L70" i="87" s="1"/>
  <c r="L71" i="87" s="1"/>
  <c r="J59" i="87"/>
  <c r="J58" i="87"/>
  <c r="L57" i="87"/>
  <c r="J57" i="87"/>
  <c r="L56" i="87"/>
  <c r="J56" i="87"/>
  <c r="L55" i="87"/>
  <c r="J55" i="87"/>
  <c r="L54" i="87"/>
  <c r="J54" i="87"/>
  <c r="L53" i="87"/>
  <c r="J53" i="87"/>
  <c r="L52" i="87"/>
  <c r="J52" i="87"/>
  <c r="L51" i="87"/>
  <c r="J51" i="87"/>
  <c r="L50" i="87"/>
  <c r="J50" i="87"/>
  <c r="L49" i="87"/>
  <c r="J49" i="87"/>
  <c r="L48" i="87"/>
  <c r="J48" i="87"/>
  <c r="L47" i="87"/>
  <c r="J47" i="87"/>
  <c r="L46" i="87"/>
  <c r="J46" i="87"/>
  <c r="L45" i="87"/>
  <c r="J45" i="87"/>
  <c r="J44" i="87"/>
  <c r="L43" i="87"/>
  <c r="J43" i="87"/>
  <c r="L42" i="87"/>
  <c r="J42" i="87"/>
  <c r="L41" i="87"/>
  <c r="J41" i="87"/>
  <c r="L40" i="87"/>
  <c r="J40" i="87"/>
  <c r="L39" i="87"/>
  <c r="J39" i="87"/>
  <c r="L38" i="87"/>
  <c r="J38" i="87"/>
  <c r="L37" i="87"/>
  <c r="J37" i="87"/>
  <c r="L36" i="87"/>
  <c r="J36" i="87"/>
  <c r="L35" i="87"/>
  <c r="J35" i="87"/>
  <c r="L34" i="87"/>
  <c r="J34" i="87"/>
  <c r="L33" i="87"/>
  <c r="J33" i="87"/>
  <c r="L32" i="87"/>
  <c r="J32" i="87"/>
  <c r="L31" i="87"/>
  <c r="J31" i="87"/>
  <c r="J30" i="87"/>
  <c r="L29" i="87"/>
  <c r="J29" i="87"/>
  <c r="L28" i="87"/>
  <c r="J28" i="87"/>
  <c r="L27" i="87"/>
  <c r="J27" i="87"/>
  <c r="L26" i="87"/>
  <c r="J26" i="87"/>
  <c r="L25" i="87"/>
  <c r="J25" i="87"/>
  <c r="L24" i="87"/>
  <c r="J24" i="87"/>
  <c r="L23" i="87"/>
  <c r="J23" i="87"/>
  <c r="L22" i="87"/>
  <c r="J22" i="87"/>
  <c r="L21" i="87"/>
  <c r="J21" i="87"/>
  <c r="L20" i="87"/>
  <c r="J20" i="87"/>
  <c r="L19" i="87"/>
  <c r="J19" i="87"/>
  <c r="L18" i="87"/>
  <c r="J18" i="87"/>
  <c r="L17" i="87"/>
  <c r="J17" i="87"/>
  <c r="J16" i="87"/>
  <c r="L15" i="87"/>
  <c r="J15" i="87"/>
  <c r="L14" i="87"/>
  <c r="J14" i="87"/>
  <c r="L13" i="87"/>
  <c r="J13" i="87"/>
  <c r="L12" i="87"/>
  <c r="J12" i="87"/>
  <c r="L11" i="87"/>
  <c r="J11" i="87"/>
  <c r="L10" i="87"/>
  <c r="J10" i="87"/>
  <c r="L9" i="87"/>
  <c r="J9" i="87"/>
  <c r="L8" i="87"/>
  <c r="J8" i="87"/>
  <c r="L7" i="87"/>
  <c r="J7" i="87"/>
  <c r="L6" i="87"/>
  <c r="J6" i="87"/>
  <c r="L5" i="87"/>
  <c r="K5" i="87"/>
  <c r="K6" i="87" s="1"/>
  <c r="K7" i="87" s="1"/>
  <c r="K8" i="87" s="1"/>
  <c r="K9" i="87" s="1"/>
  <c r="K10" i="87" s="1"/>
  <c r="K11" i="87" s="1"/>
  <c r="K12" i="87" s="1"/>
  <c r="K13" i="87" s="1"/>
  <c r="K14" i="87" s="1"/>
  <c r="K15" i="87" s="1"/>
  <c r="K16" i="87" s="1"/>
  <c r="K17" i="87" s="1"/>
  <c r="K18" i="87" s="1"/>
  <c r="K19" i="87" s="1"/>
  <c r="K20" i="87" s="1"/>
  <c r="K21" i="87" s="1"/>
  <c r="K22" i="87" s="1"/>
  <c r="K23" i="87" s="1"/>
  <c r="K24" i="87" s="1"/>
  <c r="K25" i="87" s="1"/>
  <c r="K26" i="87" s="1"/>
  <c r="K27" i="87" s="1"/>
  <c r="K28" i="87" s="1"/>
  <c r="K29" i="87" s="1"/>
  <c r="K30" i="87" s="1"/>
  <c r="K31" i="87" s="1"/>
  <c r="K32" i="87" s="1"/>
  <c r="K33" i="87" s="1"/>
  <c r="K34" i="87" s="1"/>
  <c r="K35" i="87" s="1"/>
  <c r="K36" i="87" s="1"/>
  <c r="K37" i="87" s="1"/>
  <c r="K38" i="87" s="1"/>
  <c r="K39" i="87" s="1"/>
  <c r="K40" i="87" s="1"/>
  <c r="K41" i="87" s="1"/>
  <c r="K42" i="87" s="1"/>
  <c r="K43" i="87" s="1"/>
  <c r="K44" i="87" s="1"/>
  <c r="K45" i="87" s="1"/>
  <c r="K46" i="87" s="1"/>
  <c r="K47" i="87" s="1"/>
  <c r="K48" i="87" s="1"/>
  <c r="K49" i="87" s="1"/>
  <c r="K50" i="87" s="1"/>
  <c r="K51" i="87" s="1"/>
  <c r="K52" i="87" s="1"/>
  <c r="K53" i="87" s="1"/>
  <c r="K54" i="87" s="1"/>
  <c r="K55" i="87" s="1"/>
  <c r="K56" i="87" s="1"/>
  <c r="K57" i="87" s="1"/>
  <c r="K58" i="87" s="1"/>
  <c r="K59" i="87" s="1"/>
  <c r="K60" i="87" s="1"/>
  <c r="K61" i="87" s="1"/>
  <c r="K62" i="87" s="1"/>
  <c r="K63" i="87" s="1"/>
  <c r="K64" i="87" s="1"/>
  <c r="K65" i="87" s="1"/>
  <c r="K66" i="87" s="1"/>
  <c r="K67" i="87" s="1"/>
  <c r="K68" i="87" s="1"/>
  <c r="K69" i="87" s="1"/>
  <c r="K70" i="87" s="1"/>
  <c r="K71" i="87" s="1"/>
  <c r="K72" i="87" s="1"/>
  <c r="K73" i="87" s="1"/>
  <c r="K74" i="87" s="1"/>
  <c r="K75" i="87" s="1"/>
  <c r="K76" i="87" s="1"/>
  <c r="K77" i="87" s="1"/>
  <c r="K78" i="87" s="1"/>
  <c r="K79" i="87" s="1"/>
  <c r="K80" i="87" s="1"/>
  <c r="K81" i="87" s="1"/>
  <c r="K82" i="87" s="1"/>
  <c r="K83" i="87" s="1"/>
  <c r="K84" i="87" s="1"/>
  <c r="K85" i="87" s="1"/>
  <c r="K86" i="87" s="1"/>
  <c r="K87" i="87" s="1"/>
  <c r="K88" i="87" s="1"/>
  <c r="K89" i="87" s="1"/>
  <c r="K90" i="87" s="1"/>
  <c r="K91" i="87" s="1"/>
  <c r="K92" i="87" s="1"/>
  <c r="K93" i="87" s="1"/>
  <c r="K94" i="87" s="1"/>
  <c r="K95" i="87" s="1"/>
  <c r="K96" i="87" s="1"/>
  <c r="K97" i="87" s="1"/>
  <c r="K98" i="87" s="1"/>
  <c r="K99" i="87" s="1"/>
  <c r="K100" i="87" s="1"/>
  <c r="K101" i="87" s="1"/>
  <c r="K102" i="87" s="1"/>
  <c r="K103" i="87" s="1"/>
  <c r="K104" i="87" s="1"/>
  <c r="K105" i="87" s="1"/>
  <c r="K106" i="87" s="1"/>
  <c r="K107" i="87" s="1"/>
  <c r="K108" i="87" s="1"/>
  <c r="K109" i="87" s="1"/>
  <c r="K110" i="87" s="1"/>
  <c r="K111" i="87" s="1"/>
  <c r="K112" i="87" s="1"/>
  <c r="K113" i="87" s="1"/>
  <c r="K114" i="87" s="1"/>
  <c r="K115" i="87" s="1"/>
  <c r="K116" i="87" s="1"/>
  <c r="K117" i="87" s="1"/>
  <c r="K118" i="87" s="1"/>
  <c r="K119" i="87" s="1"/>
  <c r="K120" i="87" s="1"/>
  <c r="K121" i="87" s="1"/>
  <c r="K122" i="87" s="1"/>
  <c r="J5" i="87"/>
  <c r="I5" i="87"/>
  <c r="I6" i="87" s="1"/>
  <c r="I7" i="87" s="1"/>
  <c r="I8" i="87" s="1"/>
  <c r="I9" i="87" s="1"/>
  <c r="I10" i="87" s="1"/>
  <c r="I11" i="87" s="1"/>
  <c r="I12" i="87" s="1"/>
  <c r="I13" i="87" s="1"/>
  <c r="I14" i="87" s="1"/>
  <c r="I15" i="87" s="1"/>
  <c r="I16" i="87" s="1"/>
  <c r="I17" i="87" s="1"/>
  <c r="I18" i="87" s="1"/>
  <c r="I19" i="87" s="1"/>
  <c r="I20" i="87" s="1"/>
  <c r="I21" i="87" s="1"/>
  <c r="I22" i="87" s="1"/>
  <c r="I23" i="87" s="1"/>
  <c r="I24" i="87" s="1"/>
  <c r="I25" i="87" s="1"/>
  <c r="I26" i="87" s="1"/>
  <c r="I27" i="87" s="1"/>
  <c r="I28" i="87" s="1"/>
  <c r="I29" i="87" s="1"/>
  <c r="I30" i="87" s="1"/>
  <c r="I31" i="87" s="1"/>
  <c r="I32" i="87" s="1"/>
  <c r="I33" i="87" s="1"/>
  <c r="I34" i="87" s="1"/>
  <c r="I35" i="87" s="1"/>
  <c r="I36" i="87" s="1"/>
  <c r="I37" i="87" s="1"/>
  <c r="I38" i="87" s="1"/>
  <c r="I39" i="87" s="1"/>
  <c r="I40" i="87" s="1"/>
  <c r="I41" i="87" s="1"/>
  <c r="I42" i="87" s="1"/>
  <c r="I43" i="87" s="1"/>
  <c r="I44" i="87" s="1"/>
  <c r="I45" i="87" s="1"/>
  <c r="I46" i="87" s="1"/>
  <c r="I47" i="87" s="1"/>
  <c r="I48" i="87" s="1"/>
  <c r="I49" i="87" s="1"/>
  <c r="I50" i="87" s="1"/>
  <c r="I51" i="87" s="1"/>
  <c r="I52" i="87" s="1"/>
  <c r="I53" i="87" s="1"/>
  <c r="I54" i="87" s="1"/>
  <c r="I55" i="87" s="1"/>
  <c r="I56" i="87" s="1"/>
  <c r="I57" i="87" s="1"/>
  <c r="I58" i="87" s="1"/>
  <c r="I59" i="87" s="1"/>
  <c r="I60" i="87" s="1"/>
  <c r="I61" i="87" s="1"/>
  <c r="I62" i="87" s="1"/>
  <c r="I63" i="87" s="1"/>
  <c r="I64" i="87" s="1"/>
  <c r="I65" i="87" s="1"/>
  <c r="I66" i="87" s="1"/>
  <c r="I67" i="87" s="1"/>
  <c r="I68" i="87" s="1"/>
  <c r="I69" i="87" s="1"/>
  <c r="I70" i="87" s="1"/>
  <c r="I71" i="87" s="1"/>
  <c r="I72" i="87" s="1"/>
  <c r="I73" i="87" s="1"/>
  <c r="I74" i="87" s="1"/>
  <c r="I75" i="87" s="1"/>
  <c r="I76" i="87" s="1"/>
  <c r="I77" i="87" s="1"/>
  <c r="I78" i="87" s="1"/>
  <c r="I79" i="87" s="1"/>
  <c r="I80" i="87" s="1"/>
  <c r="I81" i="87" s="1"/>
  <c r="I82" i="87" s="1"/>
  <c r="I83" i="87" s="1"/>
  <c r="I84" i="87" s="1"/>
  <c r="I85" i="87" s="1"/>
  <c r="I86" i="87" s="1"/>
  <c r="I87" i="87" s="1"/>
  <c r="I88" i="87" s="1"/>
  <c r="I89" i="87" s="1"/>
  <c r="I90" i="87" s="1"/>
  <c r="I91" i="87" s="1"/>
  <c r="I92" i="87" s="1"/>
  <c r="I93" i="87" s="1"/>
  <c r="I94" i="87" s="1"/>
  <c r="I95" i="87" s="1"/>
  <c r="I96" i="87" s="1"/>
  <c r="I97" i="87" s="1"/>
  <c r="I98" i="87" s="1"/>
  <c r="I99" i="87" s="1"/>
  <c r="I100" i="87" s="1"/>
  <c r="I101" i="87" s="1"/>
  <c r="I102" i="87" s="1"/>
  <c r="I103" i="87" s="1"/>
  <c r="I104" i="87" s="1"/>
  <c r="I105" i="87" s="1"/>
  <c r="I106" i="87" s="1"/>
  <c r="I107" i="87" s="1"/>
  <c r="I108" i="87" s="1"/>
  <c r="I109" i="87" s="1"/>
  <c r="I110" i="87" s="1"/>
  <c r="I111" i="87" s="1"/>
  <c r="I112" i="87" s="1"/>
  <c r="I113" i="87" s="1"/>
  <c r="I114" i="87" s="1"/>
  <c r="I115" i="87" s="1"/>
  <c r="I116" i="87" s="1"/>
  <c r="I117" i="87" s="1"/>
  <c r="I118" i="87" s="1"/>
  <c r="I119" i="87" s="1"/>
  <c r="I120" i="87" s="1"/>
  <c r="I121" i="87" s="1"/>
  <c r="I122" i="87" s="1"/>
  <c r="G229" i="86"/>
  <c r="F229" i="86"/>
  <c r="L228" i="86"/>
  <c r="K228" i="86"/>
  <c r="J228" i="86"/>
  <c r="L227" i="86"/>
  <c r="K227" i="86"/>
  <c r="J227" i="86"/>
  <c r="L226" i="86"/>
  <c r="K226" i="86"/>
  <c r="J226" i="86"/>
  <c r="L225" i="86"/>
  <c r="K225" i="86"/>
  <c r="J225" i="86"/>
  <c r="L224" i="86"/>
  <c r="K224" i="86"/>
  <c r="J224" i="86"/>
  <c r="L223" i="86"/>
  <c r="K223" i="86"/>
  <c r="J223" i="86"/>
  <c r="L222" i="86"/>
  <c r="K222" i="86"/>
  <c r="J222" i="86"/>
  <c r="L221" i="86"/>
  <c r="K221" i="86"/>
  <c r="J221" i="86"/>
  <c r="L220" i="86"/>
  <c r="K220" i="86"/>
  <c r="J220" i="86"/>
  <c r="L219" i="86"/>
  <c r="K219" i="86"/>
  <c r="J219" i="86"/>
  <c r="L218" i="86"/>
  <c r="K218" i="86"/>
  <c r="J218" i="86"/>
  <c r="K217" i="86"/>
  <c r="J217" i="86"/>
  <c r="L216" i="86"/>
  <c r="K216" i="86"/>
  <c r="J216" i="86"/>
  <c r="L215" i="86"/>
  <c r="K215" i="86"/>
  <c r="J215" i="86"/>
  <c r="L214" i="86"/>
  <c r="K214" i="86"/>
  <c r="J214" i="86"/>
  <c r="L213" i="86"/>
  <c r="K213" i="86"/>
  <c r="J213" i="86"/>
  <c r="L212" i="86"/>
  <c r="K212" i="86"/>
  <c r="J212" i="86"/>
  <c r="L211" i="86"/>
  <c r="K211" i="86"/>
  <c r="J211" i="86"/>
  <c r="L210" i="86"/>
  <c r="K210" i="86"/>
  <c r="J210" i="86"/>
  <c r="L209" i="86"/>
  <c r="K209" i="86"/>
  <c r="J209" i="86"/>
  <c r="L208" i="86"/>
  <c r="K208" i="86"/>
  <c r="J208" i="86"/>
  <c r="L207" i="86"/>
  <c r="K207" i="86"/>
  <c r="J207" i="86"/>
  <c r="L206" i="86"/>
  <c r="K206" i="86"/>
  <c r="J206" i="86"/>
  <c r="L205" i="86"/>
  <c r="K205" i="86"/>
  <c r="J205" i="86"/>
  <c r="L204" i="86"/>
  <c r="K204" i="86"/>
  <c r="J204" i="86"/>
  <c r="L203" i="86"/>
  <c r="K203" i="86"/>
  <c r="J203" i="86"/>
  <c r="L202" i="86"/>
  <c r="K202" i="86"/>
  <c r="J202" i="86"/>
  <c r="L201" i="86"/>
  <c r="K201" i="86"/>
  <c r="J201" i="86"/>
  <c r="L200" i="86"/>
  <c r="K200" i="86"/>
  <c r="J200" i="86"/>
  <c r="L199" i="86"/>
  <c r="K199" i="86"/>
  <c r="J199" i="86"/>
  <c r="L198" i="86"/>
  <c r="K198" i="86"/>
  <c r="J198" i="86"/>
  <c r="L197" i="86"/>
  <c r="K197" i="86"/>
  <c r="J197" i="86"/>
  <c r="L196" i="86"/>
  <c r="K196" i="86"/>
  <c r="J196" i="86"/>
  <c r="L195" i="86"/>
  <c r="K195" i="86"/>
  <c r="J195" i="86"/>
  <c r="K194" i="86"/>
  <c r="J194" i="86"/>
  <c r="L193" i="86"/>
  <c r="K193" i="86"/>
  <c r="J193" i="86"/>
  <c r="L192" i="86"/>
  <c r="K192" i="86"/>
  <c r="J192" i="86"/>
  <c r="L191" i="86"/>
  <c r="K191" i="86"/>
  <c r="J191" i="86"/>
  <c r="L190" i="86"/>
  <c r="K190" i="86"/>
  <c r="J190" i="86"/>
  <c r="L189" i="86"/>
  <c r="K189" i="86"/>
  <c r="J189" i="86"/>
  <c r="L188" i="86"/>
  <c r="K188" i="86"/>
  <c r="J188" i="86"/>
  <c r="L187" i="86"/>
  <c r="K187" i="86"/>
  <c r="J187" i="86"/>
  <c r="L186" i="86"/>
  <c r="K186" i="86"/>
  <c r="J186" i="86"/>
  <c r="L185" i="86"/>
  <c r="K185" i="86"/>
  <c r="J185" i="86"/>
  <c r="L184" i="86"/>
  <c r="K184" i="86"/>
  <c r="J184" i="86"/>
  <c r="L183" i="86"/>
  <c r="K183" i="86"/>
  <c r="J183" i="86"/>
  <c r="L182" i="86"/>
  <c r="K182" i="86"/>
  <c r="J182" i="86"/>
  <c r="L181" i="86"/>
  <c r="K181" i="86"/>
  <c r="J181" i="86"/>
  <c r="L180" i="86"/>
  <c r="K180" i="86"/>
  <c r="J180" i="86"/>
  <c r="L179" i="86"/>
  <c r="K179" i="86"/>
  <c r="J179" i="86"/>
  <c r="L178" i="86"/>
  <c r="K178" i="86"/>
  <c r="J178" i="86"/>
  <c r="L177" i="86"/>
  <c r="K177" i="86"/>
  <c r="J177" i="86"/>
  <c r="L176" i="86"/>
  <c r="K176" i="86"/>
  <c r="J176" i="86"/>
  <c r="L175" i="86"/>
  <c r="K175" i="86"/>
  <c r="J175" i="86"/>
  <c r="L174" i="86"/>
  <c r="K174" i="86"/>
  <c r="J174" i="86"/>
  <c r="L173" i="86"/>
  <c r="K173" i="86"/>
  <c r="J173" i="86"/>
  <c r="L172" i="86"/>
  <c r="K172" i="86"/>
  <c r="J172" i="86"/>
  <c r="K171" i="86"/>
  <c r="J171" i="86"/>
  <c r="L170" i="86"/>
  <c r="K170" i="86"/>
  <c r="J170" i="86"/>
  <c r="L169" i="86"/>
  <c r="K169" i="86"/>
  <c r="J169" i="86"/>
  <c r="L168" i="86"/>
  <c r="K168" i="86"/>
  <c r="J168" i="86"/>
  <c r="L167" i="86"/>
  <c r="K167" i="86"/>
  <c r="J167" i="86"/>
  <c r="L166" i="86"/>
  <c r="K166" i="86"/>
  <c r="J166" i="86"/>
  <c r="L165" i="86"/>
  <c r="K165" i="86"/>
  <c r="J165" i="86"/>
  <c r="L164" i="86"/>
  <c r="K164" i="86"/>
  <c r="J164" i="86"/>
  <c r="L163" i="86"/>
  <c r="K163" i="86"/>
  <c r="J163" i="86"/>
  <c r="L162" i="86"/>
  <c r="K162" i="86"/>
  <c r="J162" i="86"/>
  <c r="L161" i="86"/>
  <c r="K161" i="86"/>
  <c r="J161" i="86"/>
  <c r="L160" i="86"/>
  <c r="K160" i="86"/>
  <c r="J160" i="86"/>
  <c r="L159" i="86"/>
  <c r="K159" i="86"/>
  <c r="J159" i="86"/>
  <c r="L158" i="86"/>
  <c r="K158" i="86"/>
  <c r="J158" i="86"/>
  <c r="L157" i="86"/>
  <c r="K157" i="86"/>
  <c r="J157" i="86"/>
  <c r="L156" i="86"/>
  <c r="K156" i="86"/>
  <c r="J156" i="86"/>
  <c r="L155" i="86"/>
  <c r="K155" i="86"/>
  <c r="J155" i="86"/>
  <c r="L154" i="86"/>
  <c r="K154" i="86"/>
  <c r="J154" i="86"/>
  <c r="L153" i="86"/>
  <c r="K153" i="86"/>
  <c r="J153" i="86"/>
  <c r="L152" i="86"/>
  <c r="K152" i="86"/>
  <c r="J152" i="86"/>
  <c r="L151" i="86"/>
  <c r="K151" i="86"/>
  <c r="J151" i="86"/>
  <c r="K150" i="86"/>
  <c r="J150" i="86"/>
  <c r="L149" i="86"/>
  <c r="K149" i="86"/>
  <c r="J149" i="86"/>
  <c r="L148" i="86"/>
  <c r="K148" i="86"/>
  <c r="J148" i="86"/>
  <c r="L147" i="86"/>
  <c r="K147" i="86"/>
  <c r="J147" i="86"/>
  <c r="L146" i="86"/>
  <c r="K146" i="86"/>
  <c r="J146" i="86"/>
  <c r="L145" i="86"/>
  <c r="K145" i="86"/>
  <c r="J145" i="86"/>
  <c r="L144" i="86"/>
  <c r="K144" i="86"/>
  <c r="J144" i="86"/>
  <c r="L143" i="86"/>
  <c r="K143" i="86"/>
  <c r="J143" i="86"/>
  <c r="L142" i="86"/>
  <c r="K142" i="86"/>
  <c r="J142" i="86"/>
  <c r="L141" i="86"/>
  <c r="K141" i="86"/>
  <c r="J141" i="86"/>
  <c r="L140" i="86"/>
  <c r="K140" i="86"/>
  <c r="J140" i="86"/>
  <c r="L139" i="86"/>
  <c r="K139" i="86"/>
  <c r="J139" i="86"/>
  <c r="L138" i="86"/>
  <c r="K138" i="86"/>
  <c r="J138" i="86"/>
  <c r="L137" i="86"/>
  <c r="K137" i="86"/>
  <c r="J137" i="86"/>
  <c r="L136" i="86"/>
  <c r="K136" i="86"/>
  <c r="J136" i="86"/>
  <c r="L135" i="86"/>
  <c r="K135" i="86"/>
  <c r="J135" i="86"/>
  <c r="L134" i="86"/>
  <c r="K134" i="86"/>
  <c r="J134" i="86"/>
  <c r="L133" i="86"/>
  <c r="K133" i="86"/>
  <c r="J133" i="86"/>
  <c r="L132" i="86"/>
  <c r="K132" i="86"/>
  <c r="J132" i="86"/>
  <c r="L131" i="86"/>
  <c r="K131" i="86"/>
  <c r="J131" i="86"/>
  <c r="L130" i="86"/>
  <c r="K130" i="86"/>
  <c r="J130" i="86"/>
  <c r="K129" i="86"/>
  <c r="J129" i="86"/>
  <c r="L128" i="86"/>
  <c r="K128" i="86"/>
  <c r="J128" i="86"/>
  <c r="L127" i="86"/>
  <c r="K127" i="86"/>
  <c r="J127" i="86"/>
  <c r="L126" i="86"/>
  <c r="K126" i="86"/>
  <c r="J126" i="86"/>
  <c r="L125" i="86"/>
  <c r="K125" i="86"/>
  <c r="J125" i="86"/>
  <c r="L124" i="86"/>
  <c r="K124" i="86"/>
  <c r="J124" i="86"/>
  <c r="L123" i="86"/>
  <c r="K123" i="86"/>
  <c r="J123" i="86"/>
  <c r="L122" i="86"/>
  <c r="K122" i="86"/>
  <c r="J122" i="86"/>
  <c r="L121" i="86"/>
  <c r="K121" i="86"/>
  <c r="J121" i="86"/>
  <c r="L120" i="86"/>
  <c r="K120" i="86"/>
  <c r="J120" i="86"/>
  <c r="L119" i="86"/>
  <c r="K119" i="86"/>
  <c r="J119" i="86"/>
  <c r="L118" i="86"/>
  <c r="K118" i="86"/>
  <c r="J118" i="86"/>
  <c r="L117" i="86"/>
  <c r="K117" i="86"/>
  <c r="J117" i="86"/>
  <c r="L116" i="86"/>
  <c r="K116" i="86"/>
  <c r="J116" i="86"/>
  <c r="L115" i="86"/>
  <c r="K115" i="86"/>
  <c r="J115" i="86"/>
  <c r="L114" i="86"/>
  <c r="K114" i="86"/>
  <c r="J114" i="86"/>
  <c r="L113" i="86"/>
  <c r="K113" i="86"/>
  <c r="J113" i="86"/>
  <c r="L112" i="86"/>
  <c r="K112" i="86"/>
  <c r="J112" i="86"/>
  <c r="L111" i="86"/>
  <c r="K111" i="86"/>
  <c r="J111" i="86"/>
  <c r="L110" i="86"/>
  <c r="K110" i="86"/>
  <c r="J110" i="86"/>
  <c r="L109" i="86"/>
  <c r="K109" i="86"/>
  <c r="J109" i="86"/>
  <c r="K108" i="86"/>
  <c r="J108" i="86"/>
  <c r="L107" i="86"/>
  <c r="K107" i="86"/>
  <c r="J107" i="86"/>
  <c r="L106" i="86"/>
  <c r="K106" i="86"/>
  <c r="J106" i="86"/>
  <c r="L105" i="86"/>
  <c r="K105" i="86"/>
  <c r="J105" i="86"/>
  <c r="L104" i="86"/>
  <c r="K104" i="86"/>
  <c r="J104" i="86"/>
  <c r="L103" i="86"/>
  <c r="K103" i="86"/>
  <c r="J103" i="86"/>
  <c r="L102" i="86"/>
  <c r="K102" i="86"/>
  <c r="J102" i="86"/>
  <c r="L101" i="86"/>
  <c r="K101" i="86"/>
  <c r="J101" i="86"/>
  <c r="L100" i="86"/>
  <c r="K100" i="86"/>
  <c r="J100" i="86"/>
  <c r="L99" i="86"/>
  <c r="K99" i="86"/>
  <c r="J99" i="86"/>
  <c r="L98" i="86"/>
  <c r="K98" i="86"/>
  <c r="J98" i="86"/>
  <c r="L97" i="86"/>
  <c r="K97" i="86"/>
  <c r="J97" i="86"/>
  <c r="L96" i="86"/>
  <c r="K96" i="86"/>
  <c r="J96" i="86"/>
  <c r="L95" i="86"/>
  <c r="K95" i="86"/>
  <c r="J95" i="86"/>
  <c r="L94" i="86"/>
  <c r="K94" i="86"/>
  <c r="J94" i="86"/>
  <c r="L93" i="86"/>
  <c r="K93" i="86"/>
  <c r="J93" i="86"/>
  <c r="L92" i="86"/>
  <c r="K92" i="86"/>
  <c r="J92" i="86"/>
  <c r="L91" i="86"/>
  <c r="K91" i="86"/>
  <c r="J91" i="86"/>
  <c r="L90" i="86"/>
  <c r="K90" i="86"/>
  <c r="J90" i="86"/>
  <c r="L89" i="86"/>
  <c r="K89" i="86"/>
  <c r="J89" i="86"/>
  <c r="L88" i="86"/>
  <c r="K88" i="86"/>
  <c r="J88" i="86"/>
  <c r="K87" i="86"/>
  <c r="J87" i="86"/>
  <c r="L86" i="86"/>
  <c r="K86" i="86"/>
  <c r="J86" i="86"/>
  <c r="L85" i="86"/>
  <c r="K85" i="86"/>
  <c r="J85" i="86"/>
  <c r="L84" i="86"/>
  <c r="K84" i="86"/>
  <c r="J84" i="86"/>
  <c r="L83" i="86"/>
  <c r="K83" i="86"/>
  <c r="J83" i="86"/>
  <c r="L82" i="86"/>
  <c r="K82" i="86"/>
  <c r="J82" i="86"/>
  <c r="L81" i="86"/>
  <c r="K81" i="86"/>
  <c r="J81" i="86"/>
  <c r="L80" i="86"/>
  <c r="K80" i="86"/>
  <c r="J80" i="86"/>
  <c r="L79" i="86"/>
  <c r="K79" i="86"/>
  <c r="J79" i="86"/>
  <c r="L78" i="86"/>
  <c r="K78" i="86"/>
  <c r="J78" i="86"/>
  <c r="L77" i="86"/>
  <c r="K77" i="86"/>
  <c r="J77" i="86"/>
  <c r="L76" i="86"/>
  <c r="K76" i="86"/>
  <c r="J76" i="86"/>
  <c r="L75" i="86"/>
  <c r="K75" i="86"/>
  <c r="J75" i="86"/>
  <c r="L74" i="86"/>
  <c r="K74" i="86"/>
  <c r="J74" i="86"/>
  <c r="L73" i="86"/>
  <c r="K73" i="86"/>
  <c r="J73" i="86"/>
  <c r="L72" i="86"/>
  <c r="K72" i="86"/>
  <c r="J72" i="86"/>
  <c r="L71" i="86"/>
  <c r="K71" i="86"/>
  <c r="J71" i="86"/>
  <c r="L70" i="86"/>
  <c r="K70" i="86"/>
  <c r="J70" i="86"/>
  <c r="L69" i="86"/>
  <c r="K69" i="86"/>
  <c r="J69" i="86"/>
  <c r="L68" i="86"/>
  <c r="K68" i="86"/>
  <c r="J68" i="86"/>
  <c r="L67" i="86"/>
  <c r="K67" i="86"/>
  <c r="J67" i="86"/>
  <c r="L66" i="86"/>
  <c r="K66" i="86"/>
  <c r="J66" i="86"/>
  <c r="K65" i="86"/>
  <c r="J65" i="86"/>
  <c r="L64" i="86"/>
  <c r="K64" i="86"/>
  <c r="J64" i="86"/>
  <c r="L63" i="86"/>
  <c r="K63" i="86"/>
  <c r="J63" i="86"/>
  <c r="L62" i="86"/>
  <c r="K62" i="86"/>
  <c r="J62" i="86"/>
  <c r="L61" i="86"/>
  <c r="K61" i="86"/>
  <c r="J61" i="86"/>
  <c r="L60" i="86"/>
  <c r="K60" i="86"/>
  <c r="J60" i="86"/>
  <c r="L59" i="86"/>
  <c r="K59" i="86"/>
  <c r="J59" i="86"/>
  <c r="L58" i="86"/>
  <c r="K58" i="86"/>
  <c r="J58" i="86"/>
  <c r="L57" i="86"/>
  <c r="K57" i="86"/>
  <c r="J57" i="86"/>
  <c r="L56" i="86"/>
  <c r="K56" i="86"/>
  <c r="J56" i="86"/>
  <c r="L55" i="86"/>
  <c r="K55" i="86"/>
  <c r="J55" i="86"/>
  <c r="L54" i="86"/>
  <c r="K54" i="86"/>
  <c r="J54" i="86"/>
  <c r="L53" i="86"/>
  <c r="K53" i="86"/>
  <c r="J53" i="86"/>
  <c r="L52" i="86"/>
  <c r="K52" i="86"/>
  <c r="J52" i="86"/>
  <c r="L51" i="86"/>
  <c r="K51" i="86"/>
  <c r="J51" i="86"/>
  <c r="L50" i="86"/>
  <c r="K50" i="86"/>
  <c r="J50" i="86"/>
  <c r="L49" i="86"/>
  <c r="K49" i="86"/>
  <c r="J49" i="86"/>
  <c r="L48" i="86"/>
  <c r="K48" i="86"/>
  <c r="J48" i="86"/>
  <c r="L47" i="86"/>
  <c r="K47" i="86"/>
  <c r="J47" i="86"/>
  <c r="L46" i="86"/>
  <c r="K46" i="86"/>
  <c r="J46" i="86"/>
  <c r="L45" i="86"/>
  <c r="K45" i="86"/>
  <c r="J45" i="86"/>
  <c r="L44" i="86"/>
  <c r="K44" i="86"/>
  <c r="J44" i="86"/>
  <c r="K43" i="86"/>
  <c r="J43" i="86"/>
  <c r="L42" i="86"/>
  <c r="K42" i="86"/>
  <c r="J42" i="86"/>
  <c r="L41" i="86"/>
  <c r="K41" i="86"/>
  <c r="J41" i="86"/>
  <c r="L40" i="86"/>
  <c r="K40" i="86"/>
  <c r="J40" i="86"/>
  <c r="L39" i="86"/>
  <c r="K39" i="86"/>
  <c r="J39" i="86"/>
  <c r="L38" i="86"/>
  <c r="K38" i="86"/>
  <c r="J38" i="86"/>
  <c r="L37" i="86"/>
  <c r="K37" i="86"/>
  <c r="J37" i="86"/>
  <c r="L36" i="86"/>
  <c r="K36" i="86"/>
  <c r="J36" i="86"/>
  <c r="L35" i="86"/>
  <c r="K35" i="86"/>
  <c r="J35" i="86"/>
  <c r="L34" i="86"/>
  <c r="K34" i="86"/>
  <c r="J34" i="86"/>
  <c r="L33" i="86"/>
  <c r="K33" i="86"/>
  <c r="J33" i="86"/>
  <c r="L32" i="86"/>
  <c r="K32" i="86"/>
  <c r="J32" i="86"/>
  <c r="L31" i="86"/>
  <c r="K31" i="86"/>
  <c r="J31" i="86"/>
  <c r="L30" i="86"/>
  <c r="K30" i="86"/>
  <c r="J30" i="86"/>
  <c r="L29" i="86"/>
  <c r="K29" i="86"/>
  <c r="J29" i="86"/>
  <c r="L28" i="86"/>
  <c r="K28" i="86"/>
  <c r="J28" i="86"/>
  <c r="L27" i="86"/>
  <c r="K27" i="86"/>
  <c r="J27" i="86"/>
  <c r="L26" i="86"/>
  <c r="K26" i="86"/>
  <c r="J26" i="86"/>
  <c r="L25" i="86"/>
  <c r="K25" i="86"/>
  <c r="J25" i="86"/>
  <c r="L24" i="86"/>
  <c r="K24" i="86"/>
  <c r="J24" i="86"/>
  <c r="L23" i="86"/>
  <c r="K23" i="86"/>
  <c r="J23" i="86"/>
  <c r="L22" i="86"/>
  <c r="K22" i="86"/>
  <c r="J22" i="86"/>
  <c r="K21" i="86"/>
  <c r="J21" i="86"/>
  <c r="L20" i="86"/>
  <c r="K20" i="86"/>
  <c r="J20" i="86"/>
  <c r="L19" i="86"/>
  <c r="K19" i="86"/>
  <c r="J19" i="86"/>
  <c r="L18" i="86"/>
  <c r="K18" i="86"/>
  <c r="J18" i="86"/>
  <c r="L17" i="86"/>
  <c r="K17" i="86"/>
  <c r="J17" i="86"/>
  <c r="L16" i="86"/>
  <c r="K16" i="86"/>
  <c r="J16" i="86"/>
  <c r="L15" i="86"/>
  <c r="K15" i="86"/>
  <c r="J15" i="86"/>
  <c r="L14" i="86"/>
  <c r="K14" i="86"/>
  <c r="J14" i="86"/>
  <c r="L13" i="86"/>
  <c r="K13" i="86"/>
  <c r="J13" i="86"/>
  <c r="L12" i="86"/>
  <c r="K12" i="86"/>
  <c r="J12" i="86"/>
  <c r="L11" i="86"/>
  <c r="K11" i="86"/>
  <c r="J11" i="86"/>
  <c r="L10" i="86"/>
  <c r="K10" i="86"/>
  <c r="J10" i="86"/>
  <c r="L9" i="86"/>
  <c r="K9" i="86"/>
  <c r="J9" i="86"/>
  <c r="L8" i="86"/>
  <c r="K8" i="86"/>
  <c r="J8" i="86"/>
  <c r="L7" i="86"/>
  <c r="K7" i="86"/>
  <c r="J7" i="86"/>
  <c r="L6" i="86"/>
  <c r="K6" i="86"/>
  <c r="J6" i="86"/>
  <c r="L5" i="86"/>
  <c r="K5" i="86"/>
  <c r="J5" i="86"/>
  <c r="N4" i="88" l="1"/>
  <c r="N6" i="88"/>
  <c r="N8" i="88"/>
  <c r="N10" i="88"/>
  <c r="N12" i="88"/>
  <c r="N14" i="88"/>
  <c r="N16" i="88"/>
  <c r="N18" i="88"/>
  <c r="N20" i="88"/>
  <c r="N22" i="88"/>
  <c r="N24" i="88"/>
  <c r="N26" i="88"/>
  <c r="N28" i="88"/>
  <c r="N30" i="88"/>
  <c r="N32" i="88"/>
  <c r="N34" i="88"/>
  <c r="N36" i="88"/>
  <c r="N38" i="88"/>
  <c r="N40" i="88"/>
  <c r="N42" i="88"/>
  <c r="N44" i="88"/>
  <c r="N46" i="88"/>
  <c r="N48" i="88"/>
  <c r="N50" i="88"/>
  <c r="N52" i="88"/>
  <c r="N54" i="88"/>
  <c r="N56" i="88"/>
  <c r="N58" i="88"/>
  <c r="N60" i="88"/>
  <c r="N62" i="88"/>
  <c r="N64" i="88"/>
  <c r="N66" i="88"/>
  <c r="N68" i="88"/>
  <c r="N70" i="88"/>
  <c r="N72" i="88"/>
  <c r="N74" i="88"/>
  <c r="N76" i="88"/>
  <c r="N78" i="88"/>
  <c r="N80" i="88"/>
  <c r="N82" i="88"/>
  <c r="N84" i="88"/>
  <c r="N86" i="88"/>
  <c r="N88" i="88"/>
  <c r="N90" i="88"/>
  <c r="N92" i="88"/>
  <c r="N94" i="88"/>
  <c r="N96" i="88"/>
  <c r="N98" i="88"/>
  <c r="N100" i="88"/>
  <c r="N102" i="88"/>
  <c r="N104" i="88"/>
  <c r="N106" i="88"/>
  <c r="N108" i="88"/>
  <c r="N110" i="88"/>
  <c r="N112" i="88"/>
  <c r="N114" i="88"/>
  <c r="N116" i="88"/>
  <c r="N118" i="88"/>
  <c r="N120" i="88"/>
  <c r="N122" i="88"/>
  <c r="N124" i="88"/>
  <c r="N126" i="88"/>
  <c r="N5" i="88"/>
  <c r="N7" i="88"/>
  <c r="N9" i="88"/>
  <c r="N11" i="88"/>
  <c r="N13" i="88"/>
  <c r="N15" i="88"/>
  <c r="N17" i="88"/>
  <c r="N19" i="88"/>
  <c r="N21" i="88"/>
  <c r="N23" i="88"/>
  <c r="N25" i="88"/>
  <c r="N27" i="88"/>
  <c r="N29" i="88"/>
  <c r="N31" i="88"/>
  <c r="N33" i="88"/>
  <c r="N35" i="88"/>
  <c r="N37" i="88"/>
  <c r="N39" i="88"/>
  <c r="N41" i="88"/>
  <c r="N43" i="88"/>
  <c r="N45" i="88"/>
  <c r="N47" i="88"/>
  <c r="N49" i="88"/>
  <c r="N51" i="88"/>
  <c r="N55" i="88"/>
  <c r="N59" i="88"/>
  <c r="N63" i="88"/>
  <c r="N67" i="88"/>
  <c r="N71" i="88"/>
  <c r="N75" i="88"/>
  <c r="N79" i="88"/>
  <c r="N83" i="88"/>
  <c r="N87" i="88"/>
  <c r="N91" i="88"/>
  <c r="N95" i="88"/>
  <c r="N99" i="88"/>
  <c r="N103" i="88"/>
  <c r="N107" i="88"/>
  <c r="N111" i="88"/>
  <c r="N115" i="88"/>
  <c r="N119" i="88"/>
  <c r="N123" i="88"/>
  <c r="N53" i="88"/>
  <c r="N57" i="88"/>
  <c r="N61" i="88"/>
  <c r="N65" i="88"/>
  <c r="N69" i="88"/>
  <c r="N73" i="88"/>
  <c r="N77" i="88"/>
  <c r="N81" i="88"/>
  <c r="N85" i="88"/>
  <c r="N89" i="88"/>
  <c r="N93" i="88"/>
  <c r="N97" i="88"/>
  <c r="N101" i="88"/>
  <c r="N105" i="88"/>
  <c r="N109" i="88"/>
  <c r="N113" i="88"/>
  <c r="N117" i="88"/>
  <c r="N121" i="88"/>
  <c r="N125" i="88"/>
  <c r="N127" i="88" l="1"/>
  <c r="J9" i="85" s="1"/>
  <c r="F6" i="82" l="1"/>
  <c r="B9" i="82"/>
  <c r="F11" i="85" l="1"/>
  <c r="G11" i="85"/>
  <c r="I11" i="85" s="1"/>
  <c r="I9" i="85"/>
  <c r="I10" i="85"/>
  <c r="I8" i="85"/>
  <c r="F38" i="84" l="1"/>
  <c r="E37" i="84"/>
  <c r="F36" i="84"/>
  <c r="F35" i="84"/>
  <c r="F21" i="84"/>
  <c r="C40" i="84" s="1"/>
  <c r="F20" i="84"/>
  <c r="E10" i="84"/>
  <c r="E9" i="84"/>
  <c r="C8" i="84"/>
  <c r="F7" i="84"/>
  <c r="F38" i="83"/>
  <c r="E37" i="83"/>
  <c r="F36" i="83"/>
  <c r="F35" i="83"/>
  <c r="F21" i="83"/>
  <c r="C21" i="83" s="1"/>
  <c r="F20" i="83"/>
  <c r="E10" i="83"/>
  <c r="E9" i="83"/>
  <c r="C8" i="83"/>
  <c r="F7" i="83"/>
  <c r="G30" i="82"/>
  <c r="L9" i="82"/>
  <c r="L8" i="82"/>
  <c r="J8" i="82"/>
  <c r="F8" i="82" s="1"/>
  <c r="E7" i="82"/>
  <c r="J6" i="82"/>
  <c r="F3" i="82"/>
  <c r="C9" i="82"/>
  <c r="E2" i="83"/>
  <c r="E2" i="84"/>
  <c r="C21" i="84" l="1"/>
  <c r="C40" i="83"/>
  <c r="E9" i="82"/>
  <c r="D3" i="82"/>
  <c r="F7" i="82"/>
  <c r="F9" i="82" l="1"/>
  <c r="Q72" i="79"/>
  <c r="Q59" i="79"/>
  <c r="K59" i="79"/>
  <c r="P61" i="79" s="1"/>
  <c r="F59" i="79"/>
  <c r="Q58" i="79"/>
  <c r="Q51" i="79"/>
  <c r="J50" i="79"/>
  <c r="M47" i="79"/>
  <c r="D46" i="79"/>
  <c r="F33" i="79"/>
  <c r="F61" i="79" s="1"/>
  <c r="F31" i="79"/>
  <c r="F23" i="79"/>
  <c r="D24" i="79" s="1"/>
  <c r="D22" i="79"/>
  <c r="F21" i="79"/>
  <c r="F20" i="79"/>
  <c r="M19" i="79"/>
  <c r="F18" i="79"/>
  <c r="M17" i="79"/>
  <c r="F17" i="79"/>
  <c r="F15" i="79"/>
  <c r="D23" i="79" l="1"/>
  <c r="P74" i="79"/>
  <c r="N22" i="1" l="1"/>
  <c r="E38" i="39"/>
  <c r="I38" i="39"/>
  <c r="G38" i="39"/>
  <c r="M9" i="78"/>
  <c r="G9" i="78"/>
  <c r="M8" i="78"/>
  <c r="G8" i="78"/>
  <c r="M7" i="78"/>
  <c r="G7" i="78"/>
  <c r="M6" i="78"/>
  <c r="G6" i="78"/>
  <c r="M5" i="78"/>
  <c r="I46" i="39" s="1"/>
  <c r="G5" i="78"/>
  <c r="M4" i="78"/>
  <c r="G46" i="39" s="1"/>
  <c r="G4" i="78"/>
  <c r="M3" i="78"/>
  <c r="G3" i="78"/>
  <c r="M2" i="78"/>
  <c r="E46" i="39" s="1"/>
  <c r="G2" i="78"/>
  <c r="E23" i="78" l="1"/>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N46" i="71"/>
  <c r="B47" i="71" s="1"/>
  <c r="B48" i="71"/>
  <c r="B49" i="71" s="1"/>
  <c r="S49" i="71" s="1"/>
  <c r="D46" i="71"/>
  <c r="Q45" i="71"/>
  <c r="P45" i="71"/>
  <c r="O45" i="71"/>
  <c r="N45" i="71"/>
  <c r="Q44" i="71"/>
  <c r="P44" i="71"/>
  <c r="O44" i="71"/>
  <c r="N44" i="71"/>
  <c r="Q43" i="71"/>
  <c r="P43" i="71"/>
  <c r="O43" i="71"/>
  <c r="N43" i="71"/>
  <c r="Q42" i="71"/>
  <c r="F43" i="71"/>
  <c r="F44" i="71" s="1"/>
  <c r="F45" i="71"/>
  <c r="V45" i="71" s="1"/>
  <c r="P42" i="71"/>
  <c r="E43" i="71" s="1"/>
  <c r="E44" i="71" s="1"/>
  <c r="O42" i="71"/>
  <c r="C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E19" i="71"/>
  <c r="E20" i="71"/>
  <c r="E21" i="71" s="1"/>
  <c r="U21" i="71" s="1"/>
  <c r="C15" i="71"/>
  <c r="C16" i="71" s="1"/>
  <c r="X15" i="71"/>
  <c r="X16" i="71"/>
  <c r="X17" i="71"/>
  <c r="Y18" i="71"/>
  <c r="Z18" i="71" s="1"/>
  <c r="AA19" i="71"/>
  <c r="X21" i="71"/>
  <c r="AA21" i="71"/>
  <c r="Y22" i="71"/>
  <c r="Z22" i="71" s="1"/>
  <c r="X23" i="71"/>
  <c r="AA23" i="71"/>
  <c r="F37" i="71"/>
  <c r="V37" i="71" s="1"/>
  <c r="C13" i="71"/>
  <c r="Y12" i="71"/>
  <c r="Z12" i="71" s="1"/>
  <c r="X11" i="71"/>
  <c r="C28" i="71"/>
  <c r="C29" i="71" s="1"/>
  <c r="C32" i="71"/>
  <c r="D32" i="71" s="1"/>
  <c r="D31" i="71"/>
  <c r="P13" i="71"/>
  <c r="E40" i="71"/>
  <c r="E41" i="71" s="1"/>
  <c r="U41" i="71"/>
  <c r="E45" i="71"/>
  <c r="U45" i="71" s="1"/>
  <c r="E48" i="71"/>
  <c r="E49" i="71" s="1"/>
  <c r="U49" i="71" s="1"/>
  <c r="Q50" i="71"/>
  <c r="U53" i="71"/>
  <c r="E52" i="71"/>
  <c r="Q13" i="71"/>
  <c r="D39" i="71"/>
  <c r="Q52" i="71"/>
  <c r="T53" i="71"/>
  <c r="O53" i="71"/>
  <c r="D53" i="71"/>
  <c r="C52" i="71"/>
  <c r="Q53" i="71"/>
  <c r="E56" i="71"/>
  <c r="E55" i="71" s="1"/>
  <c r="C60" i="71"/>
  <c r="E60" i="71"/>
  <c r="E59" i="71" s="1"/>
  <c r="D61" i="71"/>
  <c r="E64" i="71"/>
  <c r="E63" i="71" s="1"/>
  <c r="C68" i="71"/>
  <c r="C72" i="71"/>
  <c r="C71" i="71" s="1"/>
  <c r="D71" i="71" s="1"/>
  <c r="C12" i="71"/>
  <c r="F13" i="71"/>
  <c r="F12" i="71" s="1"/>
  <c r="F11" i="71" s="1"/>
  <c r="AB11" i="71"/>
  <c r="E13" i="71"/>
  <c r="E12" i="71"/>
  <c r="AA13" i="71"/>
  <c r="C51" i="71"/>
  <c r="O52" i="71"/>
  <c r="D52" i="71"/>
  <c r="D68" i="71"/>
  <c r="C67" i="71"/>
  <c r="D67" i="71"/>
  <c r="D60" i="71"/>
  <c r="C59" i="71"/>
  <c r="D59" i="71" s="1"/>
  <c r="D72" i="71"/>
  <c r="D40" i="71"/>
  <c r="P52" i="71"/>
  <c r="E51" i="71"/>
  <c r="P50" i="71" s="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F94" i="40"/>
  <c r="H25" i="40"/>
  <c r="G94" i="40"/>
  <c r="J25" i="40"/>
  <c r="F103" i="39"/>
  <c r="H29" i="39"/>
  <c r="AB29" i="39" s="1"/>
  <c r="G103" i="39"/>
  <c r="J29" i="39"/>
  <c r="AC29" i="39" s="1"/>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C18" i="36"/>
  <c r="W18" i="36"/>
  <c r="AB21" i="37"/>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AZ548" i="3" s="1"/>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E97" i="39" s="1"/>
  <c r="J23" i="39" s="1"/>
  <c r="AC23" i="39" s="1"/>
  <c r="D95" i="39"/>
  <c r="E95" i="39" s="1"/>
  <c r="F95" i="39"/>
  <c r="G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D73" i="37"/>
  <c r="E73" i="37"/>
  <c r="F73" i="37" s="1"/>
  <c r="G73" i="37" s="1"/>
  <c r="D71" i="37"/>
  <c r="H15" i="37"/>
  <c r="AB15" i="37"/>
  <c r="B68" i="37"/>
  <c r="H14" i="37"/>
  <c r="AB14" i="37" s="1"/>
  <c r="B66" i="37"/>
  <c r="H13" i="37" s="1"/>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B75" i="35"/>
  <c r="J24" i="35"/>
  <c r="AC24" i="35" s="1"/>
  <c r="B73" i="35"/>
  <c r="H23" i="35" s="1"/>
  <c r="U23" i="35" s="1"/>
  <c r="B57" i="35"/>
  <c r="B61" i="35"/>
  <c r="F13" i="35" s="1"/>
  <c r="B59" i="35"/>
  <c r="B131" i="34"/>
  <c r="H47" i="34" s="1"/>
  <c r="B129" i="34"/>
  <c r="B127" i="34"/>
  <c r="H45" i="34" s="1"/>
  <c r="AB45" i="34" s="1"/>
  <c r="B99" i="34"/>
  <c r="B97" i="34"/>
  <c r="J31" i="34" s="1"/>
  <c r="B95" i="34"/>
  <c r="B93" i="34"/>
  <c r="F29" i="34" s="1"/>
  <c r="B75" i="34"/>
  <c r="B73" i="34"/>
  <c r="B71" i="34"/>
  <c r="B130" i="33"/>
  <c r="B128" i="33"/>
  <c r="B126" i="33"/>
  <c r="H44" i="33" s="1"/>
  <c r="AB44" i="33" s="1"/>
  <c r="B98" i="33"/>
  <c r="B96" i="33"/>
  <c r="H30" i="33" s="1"/>
  <c r="U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AB46" i="21" s="1"/>
  <c r="B128" i="21"/>
  <c r="J45" i="21"/>
  <c r="W45" i="21" s="1"/>
  <c r="B126" i="21"/>
  <c r="J44" i="21" s="1"/>
  <c r="B98" i="21"/>
  <c r="H31" i="21"/>
  <c r="AB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AB43" i="21" s="1"/>
  <c r="F38" i="21"/>
  <c r="F36" i="21"/>
  <c r="S36" i="21" s="1"/>
  <c r="F39" i="21"/>
  <c r="AA39" i="21" s="1"/>
  <c r="J40" i="21"/>
  <c r="H35" i="21"/>
  <c r="J8" i="21"/>
  <c r="AC8" i="21" s="1"/>
  <c r="H8" i="21"/>
  <c r="H10" i="21"/>
  <c r="H39" i="21"/>
  <c r="U39" i="21" s="1"/>
  <c r="J34" i="21"/>
  <c r="H36" i="21"/>
  <c r="U36" i="21" s="1"/>
  <c r="F35" i="21"/>
  <c r="J10" i="21"/>
  <c r="AC10" i="21" s="1"/>
  <c r="H26" i="21"/>
  <c r="AB19" i="21"/>
  <c r="J19" i="21"/>
  <c r="W19" i="21"/>
  <c r="J26" i="21"/>
  <c r="W26" i="21"/>
  <c r="F26" i="21"/>
  <c r="S26" i="21"/>
  <c r="AB41" i="21"/>
  <c r="S41" i="21"/>
  <c r="AA41" i="21"/>
  <c r="F45" i="39"/>
  <c r="J45" i="39"/>
  <c r="J44" i="39"/>
  <c r="AC44" i="39" s="1"/>
  <c r="F36" i="39"/>
  <c r="S36" i="39" s="1"/>
  <c r="H36" i="39"/>
  <c r="J35" i="39"/>
  <c r="AC35" i="39" s="1"/>
  <c r="F35" i="39"/>
  <c r="AA35" i="39" s="1"/>
  <c r="J36" i="39"/>
  <c r="U9" i="39"/>
  <c r="W25"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U33" i="33"/>
  <c r="S40" i="33"/>
  <c r="W39" i="33"/>
  <c r="H39" i="37"/>
  <c r="AB39" i="37"/>
  <c r="S27" i="35"/>
  <c r="F11" i="40"/>
  <c r="H11" i="40"/>
  <c r="AB11" i="40" s="1"/>
  <c r="W8" i="40"/>
  <c r="AC40" i="40"/>
  <c r="AA9" i="40"/>
  <c r="AC9" i="40"/>
  <c r="U9" i="40"/>
  <c r="S34" i="40"/>
  <c r="S40" i="40"/>
  <c r="U34" i="40"/>
  <c r="U40" i="40"/>
  <c r="F42" i="39"/>
  <c r="AA42" i="39"/>
  <c r="F41" i="39"/>
  <c r="S41" i="39" s="1"/>
  <c r="H40" i="39"/>
  <c r="H39" i="39"/>
  <c r="U39" i="39" s="1"/>
  <c r="S34" i="39"/>
  <c r="H34" i="39"/>
  <c r="U34" i="39" s="1"/>
  <c r="E109" i="39"/>
  <c r="H31" i="39"/>
  <c r="AB31" i="39" s="1"/>
  <c r="F31" i="39"/>
  <c r="AA31" i="39" s="1"/>
  <c r="J23" i="40"/>
  <c r="F21" i="40"/>
  <c r="AA21" i="40" s="1"/>
  <c r="J21" i="40"/>
  <c r="W21" i="40" s="1"/>
  <c r="H42" i="39"/>
  <c r="J34" i="39"/>
  <c r="AC34" i="39" s="1"/>
  <c r="F109" i="39"/>
  <c r="G109" i="39" s="1"/>
  <c r="H109" i="39"/>
  <c r="I109" i="39" s="1"/>
  <c r="J109" i="39" s="1"/>
  <c r="K109" i="39" s="1"/>
  <c r="L109" i="39" s="1"/>
  <c r="M109" i="39" s="1"/>
  <c r="J31" i="39"/>
  <c r="AC31" i="39" s="1"/>
  <c r="H27" i="39"/>
  <c r="U27" i="39" s="1"/>
  <c r="F27" i="39"/>
  <c r="S27" i="39" s="1"/>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H16" i="36"/>
  <c r="AB16" i="36" s="1"/>
  <c r="E85" i="36"/>
  <c r="F85" i="36" s="1"/>
  <c r="G85" i="36" s="1"/>
  <c r="H85" i="36" s="1"/>
  <c r="I85" i="36" s="1"/>
  <c r="J85" i="36" s="1"/>
  <c r="K85" i="36" s="1"/>
  <c r="L85" i="36" s="1"/>
  <c r="M85" i="36" s="1"/>
  <c r="J29" i="36"/>
  <c r="AC29" i="36"/>
  <c r="F24" i="36"/>
  <c r="AA24" i="36" s="1"/>
  <c r="F34" i="36"/>
  <c r="S10" i="36"/>
  <c r="AB8" i="36"/>
  <c r="S8" i="36"/>
  <c r="U8" i="35"/>
  <c r="F14" i="35"/>
  <c r="F23" i="35"/>
  <c r="J32" i="35"/>
  <c r="J16" i="35"/>
  <c r="H16" i="35"/>
  <c r="F16" i="35"/>
  <c r="S16" i="35" s="1"/>
  <c r="H14" i="35"/>
  <c r="AB14" i="35" s="1"/>
  <c r="J29" i="35"/>
  <c r="AC29" i="35" s="1"/>
  <c r="H33" i="35"/>
  <c r="AB33" i="35"/>
  <c r="AC8" i="35"/>
  <c r="J20" i="35"/>
  <c r="W20" i="35" s="1"/>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F23" i="40"/>
  <c r="F17" i="40"/>
  <c r="AA17" i="40" s="1"/>
  <c r="J17" i="40"/>
  <c r="W17" i="40" s="1"/>
  <c r="F15" i="40"/>
  <c r="H15" i="40"/>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H37" i="34"/>
  <c r="U37" i="34" s="1"/>
  <c r="H25" i="34"/>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H46" i="34"/>
  <c r="U46" i="34" s="1"/>
  <c r="F46" i="34"/>
  <c r="AA46" i="34" s="1"/>
  <c r="J46" i="34"/>
  <c r="H11" i="35"/>
  <c r="U11" i="35" s="1"/>
  <c r="J11" i="35"/>
  <c r="F11" i="35"/>
  <c r="S11" i="35" s="1"/>
  <c r="J26" i="36"/>
  <c r="H28" i="36"/>
  <c r="H32" i="36"/>
  <c r="J32" i="36"/>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H40" i="37"/>
  <c r="U40" i="37" s="1"/>
  <c r="J40" i="37"/>
  <c r="AC40" i="37" s="1"/>
  <c r="F40" i="37"/>
  <c r="AC12" i="40"/>
  <c r="W12" i="40"/>
  <c r="H14" i="33"/>
  <c r="U14" i="33" s="1"/>
  <c r="F14" i="33"/>
  <c r="J14" i="33"/>
  <c r="W14" i="33" s="1"/>
  <c r="AB30" i="33"/>
  <c r="J30" i="33"/>
  <c r="W30" i="33" s="1"/>
  <c r="J44" i="33"/>
  <c r="F44" i="33"/>
  <c r="J46" i="33"/>
  <c r="F46" i="33"/>
  <c r="H46" i="33"/>
  <c r="AB46" i="33" s="1"/>
  <c r="H13" i="34"/>
  <c r="U13" i="34" s="1"/>
  <c r="J13" i="34"/>
  <c r="W13" i="34" s="1"/>
  <c r="F13" i="34"/>
  <c r="J29" i="34"/>
  <c r="W29" i="34" s="1"/>
  <c r="S29" i="34"/>
  <c r="AC31" i="34"/>
  <c r="U45" i="34"/>
  <c r="U47" i="34"/>
  <c r="S13" i="35"/>
  <c r="W25" i="35"/>
  <c r="AC35" i="35"/>
  <c r="J25" i="36"/>
  <c r="W25" i="36"/>
  <c r="F25" i="36"/>
  <c r="S25" i="36"/>
  <c r="H25" i="36"/>
  <c r="AB25" i="36"/>
  <c r="AB13" i="37"/>
  <c r="F28" i="37"/>
  <c r="AA28" i="37"/>
  <c r="J28" i="37"/>
  <c r="AC28" i="37"/>
  <c r="H28" i="37"/>
  <c r="U28" i="37"/>
  <c r="H38" i="37"/>
  <c r="AB38" i="37"/>
  <c r="J38" i="37"/>
  <c r="AC38" i="37"/>
  <c r="F38" i="37"/>
  <c r="S38" i="37"/>
  <c r="F43" i="39"/>
  <c r="AA43" i="39"/>
  <c r="H43" i="39"/>
  <c r="J14" i="39"/>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s="1"/>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BL506" i="3"/>
  <c r="BL502" i="3"/>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4"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AZ506" i="3" s="1"/>
  <c r="BA504" i="3"/>
  <c r="AZ504" i="3" s="1"/>
  <c r="BA502" i="3"/>
  <c r="AZ502" i="3" s="1"/>
  <c r="BA500" i="3"/>
  <c r="BA498" i="3"/>
  <c r="AZ498" i="3" s="1"/>
  <c r="BA496" i="3"/>
  <c r="BA494" i="3"/>
  <c r="BA581" i="3"/>
  <c r="BA579" i="3"/>
  <c r="AZ579" i="3" s="1"/>
  <c r="BA577" i="3"/>
  <c r="BA575" i="3"/>
  <c r="AZ575" i="3" s="1"/>
  <c r="BA571" i="3"/>
  <c r="BA567" i="3"/>
  <c r="AZ567" i="3" s="1"/>
  <c r="BA565" i="3"/>
  <c r="BA563" i="3"/>
  <c r="BA561" i="3"/>
  <c r="BA559" i="3"/>
  <c r="AZ559" i="3" s="1"/>
  <c r="BA553" i="3"/>
  <c r="BA549" i="3"/>
  <c r="BA547" i="3"/>
  <c r="BA543" i="3"/>
  <c r="BA541" i="3"/>
  <c r="BA539" i="3"/>
  <c r="AZ539" i="3" s="1"/>
  <c r="BA537" i="3"/>
  <c r="BA535" i="3"/>
  <c r="AZ535" i="3" s="1"/>
  <c r="BA533" i="3"/>
  <c r="BA531" i="3"/>
  <c r="AZ531" i="3" s="1"/>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s="1"/>
  <c r="AZ525" i="3" s="1"/>
  <c r="BQ523" i="3"/>
  <c r="BL523" i="3" s="1"/>
  <c r="BA521" i="3"/>
  <c r="AC521" i="3"/>
  <c r="G521" i="3"/>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U32" i="33"/>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C33" i="36"/>
  <c r="AA12" i="35"/>
  <c r="W14" i="37"/>
  <c r="AB28" i="37"/>
  <c r="U33" i="37"/>
  <c r="U39" i="37"/>
  <c r="W26" i="37"/>
  <c r="AC8" i="37"/>
  <c r="U26" i="37"/>
  <c r="AB13" i="34"/>
  <c r="AB37" i="34"/>
  <c r="AA13" i="33"/>
  <c r="AC45" i="33"/>
  <c r="U11" i="33"/>
  <c r="U19" i="21"/>
  <c r="W44" i="21"/>
  <c r="AB38" i="21"/>
  <c r="F43" i="33"/>
  <c r="AA43" i="33"/>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c r="H15" i="39"/>
  <c r="U15" i="39"/>
  <c r="J15" i="39"/>
  <c r="W15" i="39"/>
  <c r="H41" i="39"/>
  <c r="AB41" i="39" s="1"/>
  <c r="AB34" i="39"/>
  <c r="S42" i="39"/>
  <c r="W9" i="39"/>
  <c r="W8" i="39"/>
  <c r="J19" i="40"/>
  <c r="AC19" i="40" s="1"/>
  <c r="J50" i="40"/>
  <c r="H103" i="9"/>
  <c r="D8" i="53"/>
  <c r="B16" i="53"/>
  <c r="B33" i="72" s="1"/>
  <c r="C7" i="37"/>
  <c r="C7" i="34"/>
  <c r="C7" i="36"/>
  <c r="C46" i="36" s="1"/>
  <c r="D46" i="36" s="1"/>
  <c r="W35" i="40"/>
  <c r="A118" i="9"/>
  <c r="A4" i="52"/>
  <c r="B41" i="72"/>
  <c r="G4" i="4"/>
  <c r="I4" i="4"/>
  <c r="K5" i="4"/>
  <c r="B47" i="48" s="1"/>
  <c r="A2" i="9"/>
  <c r="N2" i="43"/>
  <c r="F59" i="43"/>
  <c r="BL549" i="3"/>
  <c r="AZ522"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BL120" i="3"/>
  <c r="AZ120" i="3" s="1"/>
  <c r="G121" i="3"/>
  <c r="BA123" i="3"/>
  <c r="AZ123" i="3" s="1"/>
  <c r="BL124" i="3"/>
  <c r="G125" i="3"/>
  <c r="BA127" i="3"/>
  <c r="BL128" i="3"/>
  <c r="G129" i="3"/>
  <c r="BA131" i="3"/>
  <c r="AZ131" i="3" s="1"/>
  <c r="BL132" i="3"/>
  <c r="G133" i="3"/>
  <c r="BA135" i="3"/>
  <c r="BL136" i="3"/>
  <c r="AZ136" i="3" s="1"/>
  <c r="G137" i="3"/>
  <c r="BA139" i="3"/>
  <c r="BL140" i="3"/>
  <c r="G141" i="3"/>
  <c r="BA143" i="3"/>
  <c r="BL144" i="3"/>
  <c r="G145" i="3"/>
  <c r="BA147" i="3"/>
  <c r="AZ147" i="3" s="1"/>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43" i="3"/>
  <c r="AZ47" i="3"/>
  <c r="AZ51"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BA346" i="3"/>
  <c r="AZ346" i="3" s="1"/>
  <c r="BA347" i="3"/>
  <c r="BL347" i="3"/>
  <c r="G350" i="3"/>
  <c r="BA351" i="3"/>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c r="BL352" i="3"/>
  <c r="G353" i="3"/>
  <c r="BA357" i="3"/>
  <c r="AZ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AZ383" i="3" s="1"/>
  <c r="BL384" i="3"/>
  <c r="G385" i="3"/>
  <c r="BA387" i="3"/>
  <c r="AZ387" i="3" s="1"/>
  <c r="BL388" i="3"/>
  <c r="G389" i="3"/>
  <c r="BA391" i="3"/>
  <c r="AZ391" i="3" s="1"/>
  <c r="BL392" i="3"/>
  <c r="G393" i="3"/>
  <c r="BO5" i="3"/>
  <c r="BJ5" i="3"/>
  <c r="BF5" i="3"/>
  <c r="AZ309" i="3"/>
  <c r="BQ5" i="3"/>
  <c r="AZ549" i="3"/>
  <c r="AZ496" i="3"/>
  <c r="G538" i="3"/>
  <c r="G520" i="3"/>
  <c r="G502" i="3"/>
  <c r="BP5" i="3"/>
  <c r="BK5" i="3"/>
  <c r="BG5" i="3"/>
  <c r="BC5" i="3"/>
  <c r="G17" i="3"/>
  <c r="BA17" i="3"/>
  <c r="BA15" i="3"/>
  <c r="BR5" i="3"/>
  <c r="AZ384" i="3"/>
  <c r="AZ509" i="3"/>
  <c r="BL493" i="3"/>
  <c r="AZ493" i="3" s="1"/>
  <c r="U36" i="40"/>
  <c r="N4" i="43"/>
  <c r="F36" i="43"/>
  <c r="F81" i="43"/>
  <c r="H83" i="43"/>
  <c r="H113" i="43"/>
  <c r="F48" i="43"/>
  <c r="N7" i="43"/>
  <c r="F70" i="43"/>
  <c r="H73" i="43"/>
  <c r="M6" i="43"/>
  <c r="M11" i="43"/>
  <c r="E17" i="43"/>
  <c r="F39" i="43"/>
  <c r="I17" i="43"/>
  <c r="F35" i="43"/>
  <c r="J17" i="43"/>
  <c r="F6" i="1"/>
  <c r="G6" i="1" s="1"/>
  <c r="U43" i="21"/>
  <c r="AC35" i="21"/>
  <c r="G8" i="1"/>
  <c r="G9" i="1"/>
  <c r="G10" i="1"/>
  <c r="F48" i="9"/>
  <c r="O52" i="9" s="1"/>
  <c r="AZ563" i="3"/>
  <c r="W37" i="37"/>
  <c r="W44" i="34"/>
  <c r="AC44" i="34"/>
  <c r="U13" i="37"/>
  <c r="U12" i="40"/>
  <c r="AA12" i="40"/>
  <c r="J37" i="33"/>
  <c r="W37" i="33"/>
  <c r="AC17" i="34"/>
  <c r="F106" i="33"/>
  <c r="G106" i="33" s="1"/>
  <c r="H106" i="33"/>
  <c r="I106" i="33" s="1"/>
  <c r="J106" i="33" s="1"/>
  <c r="K106" i="33" s="1"/>
  <c r="L106" i="33" s="1"/>
  <c r="M106" i="33" s="1"/>
  <c r="J34" i="33"/>
  <c r="F33" i="34"/>
  <c r="W12" i="36"/>
  <c r="H20" i="36"/>
  <c r="J20" i="36"/>
  <c r="W24" i="36"/>
  <c r="J27" i="36"/>
  <c r="W27" i="36"/>
  <c r="AB25" i="37"/>
  <c r="AC33" i="40"/>
  <c r="G111" i="40"/>
  <c r="H111" i="40" s="1"/>
  <c r="I111" i="40"/>
  <c r="J111" i="40" s="1"/>
  <c r="K111" i="40" s="1"/>
  <c r="L111" i="40" s="1"/>
  <c r="M111" i="40" s="1"/>
  <c r="H35" i="40"/>
  <c r="AB35" i="40"/>
  <c r="W29" i="35"/>
  <c r="H35" i="37"/>
  <c r="U35" i="37"/>
  <c r="H20" i="35"/>
  <c r="F20" i="35"/>
  <c r="AB23" i="35"/>
  <c r="U29" i="36"/>
  <c r="H32" i="37"/>
  <c r="AB32" i="37"/>
  <c r="F96" i="37"/>
  <c r="H27" i="40"/>
  <c r="U27" i="40" s="1"/>
  <c r="J27" i="40"/>
  <c r="F27" i="40"/>
  <c r="S27" i="40" s="1"/>
  <c r="J30" i="40"/>
  <c r="F30" i="40"/>
  <c r="AC2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F97" i="39"/>
  <c r="G97" i="39" s="1"/>
  <c r="C40" i="11"/>
  <c r="AZ130" i="3"/>
  <c r="AZ42" i="3"/>
  <c r="AZ50" i="3"/>
  <c r="H75" i="43"/>
  <c r="H74" i="43"/>
  <c r="H50"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c r="H86" i="43"/>
  <c r="H82" i="43"/>
  <c r="H87" i="43"/>
  <c r="K9" i="1"/>
  <c r="M9" i="1" s="1"/>
  <c r="AE9" i="1"/>
  <c r="D93" i="9"/>
  <c r="W26" i="33"/>
  <c r="AC27" i="34"/>
  <c r="U34" i="36"/>
  <c r="U33" i="36"/>
  <c r="AC12" i="39"/>
  <c r="W12" i="39"/>
  <c r="W12" i="33"/>
  <c r="AA32" i="36"/>
  <c r="AZ551" i="3"/>
  <c r="AZ441" i="3"/>
  <c r="AZ457" i="3"/>
  <c r="AZ473" i="3"/>
  <c r="AA39" i="34"/>
  <c r="BL14" i="3"/>
  <c r="AC13" i="34"/>
  <c r="W28" i="37"/>
  <c r="H12" i="39"/>
  <c r="AB12" i="39" s="1"/>
  <c r="F39" i="40"/>
  <c r="S39" i="40" s="1"/>
  <c r="BA14" i="3"/>
  <c r="AZ41" i="3"/>
  <c r="S12" i="1"/>
  <c r="R12" i="1"/>
  <c r="B12" i="1"/>
  <c r="E12" i="1" s="1"/>
  <c r="S10" i="1"/>
  <c r="R10" i="1"/>
  <c r="B10" i="1"/>
  <c r="E10" i="1" s="1"/>
  <c r="D1" i="66"/>
  <c r="E10" i="66" s="1"/>
  <c r="K12" i="1"/>
  <c r="M12" i="1" s="1"/>
  <c r="S13" i="1"/>
  <c r="R13" i="1"/>
  <c r="S11" i="1"/>
  <c r="R11" i="1"/>
  <c r="S9" i="1"/>
  <c r="R9" i="1"/>
  <c r="J51" i="67"/>
  <c r="C42" i="1"/>
  <c r="C24" i="12" s="1"/>
  <c r="H100" i="43"/>
  <c r="C30" i="66"/>
  <c r="E26" i="66"/>
  <c r="AA34" i="33"/>
  <c r="B41" i="1"/>
  <c r="S22" i="31"/>
  <c r="R22" i="31" s="1"/>
  <c r="J100" i="43"/>
  <c r="AB37" i="40"/>
  <c r="S35" i="40"/>
  <c r="U35" i="40"/>
  <c r="S17" i="40"/>
  <c r="AC17" i="40"/>
  <c r="AC15" i="40"/>
  <c r="AB27" i="40"/>
  <c r="AA19" i="40"/>
  <c r="S28" i="40"/>
  <c r="AA27" i="40"/>
  <c r="U21" i="40"/>
  <c r="AB19" i="40"/>
  <c r="W42" i="39"/>
  <c r="U37" i="39"/>
  <c r="S43" i="39"/>
  <c r="S37" i="39"/>
  <c r="U35" i="39"/>
  <c r="F107" i="39"/>
  <c r="G107" i="39" s="1"/>
  <c r="H107" i="39" s="1"/>
  <c r="S25" i="39"/>
  <c r="J21" i="39"/>
  <c r="F21" i="39"/>
  <c r="AA21" i="39" s="1"/>
  <c r="H21" i="39"/>
  <c r="AB21" i="39" s="1"/>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U10" i="36"/>
  <c r="W10" i="36"/>
  <c r="W24" i="35"/>
  <c r="U29" i="35"/>
  <c r="U28" i="35"/>
  <c r="AB27" i="35"/>
  <c r="U32" i="35"/>
  <c r="AC30" i="35"/>
  <c r="AA36" i="35"/>
  <c r="S28" i="35"/>
  <c r="U22" i="35"/>
  <c r="AC20" i="35"/>
  <c r="U14" i="35"/>
  <c r="AA10" i="35"/>
  <c r="AA11" i="35"/>
  <c r="S8" i="35"/>
  <c r="AC9" i="35"/>
  <c r="AC12" i="35"/>
  <c r="F9" i="35"/>
  <c r="AA9" i="35" s="1"/>
  <c r="F26" i="35"/>
  <c r="AA26" i="35" s="1"/>
  <c r="J26" i="35"/>
  <c r="AC26" i="35" s="1"/>
  <c r="H26" i="35"/>
  <c r="AB40" i="37"/>
  <c r="W27" i="37"/>
  <c r="AC9" i="37"/>
  <c r="U29" i="37"/>
  <c r="S32" i="37"/>
  <c r="AB31" i="37"/>
  <c r="W30" i="37"/>
  <c r="S36" i="37"/>
  <c r="AA38" i="37"/>
  <c r="U32" i="37"/>
  <c r="W38" i="37"/>
  <c r="AC35" i="37"/>
  <c r="S30" i="37"/>
  <c r="AC15" i="37"/>
  <c r="J17" i="37"/>
  <c r="W17" i="37"/>
  <c r="F17" i="37"/>
  <c r="AA17" i="37" s="1"/>
  <c r="AB17" i="37"/>
  <c r="F19" i="37"/>
  <c r="S19" i="37" s="1"/>
  <c r="F23" i="37"/>
  <c r="U23" i="37"/>
  <c r="U15" i="37"/>
  <c r="U9" i="37"/>
  <c r="AA12" i="37"/>
  <c r="AA9" i="37"/>
  <c r="H10" i="37"/>
  <c r="H60" i="37"/>
  <c r="I60" i="37" s="1"/>
  <c r="F11" i="37"/>
  <c r="AB8" i="34"/>
  <c r="U44" i="34"/>
  <c r="AC39" i="34"/>
  <c r="AC42" i="34"/>
  <c r="U39" i="34"/>
  <c r="S43" i="34"/>
  <c r="AB41" i="34"/>
  <c r="W34" i="34"/>
  <c r="AA25" i="34"/>
  <c r="U28" i="34"/>
  <c r="S17" i="34"/>
  <c r="AA29" i="34"/>
  <c r="S23" i="34"/>
  <c r="U15" i="34"/>
  <c r="S10" i="34"/>
  <c r="H67" i="34"/>
  <c r="I67" i="34" s="1"/>
  <c r="H10" i="34"/>
  <c r="F11" i="34"/>
  <c r="S11" i="34" s="1"/>
  <c r="F70" i="34"/>
  <c r="W42" i="33"/>
  <c r="AA35" i="33"/>
  <c r="S32" i="33"/>
  <c r="AB29"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F87" i="33"/>
  <c r="H25" i="33"/>
  <c r="F25" i="33"/>
  <c r="AA25" i="33" s="1"/>
  <c r="J23" i="33"/>
  <c r="F85" i="33"/>
  <c r="G85" i="33" s="1"/>
  <c r="H23" i="33"/>
  <c r="F81" i="33"/>
  <c r="F19" i="33"/>
  <c r="S19" i="33"/>
  <c r="W19" i="33"/>
  <c r="J17" i="33"/>
  <c r="AC17" i="33" s="1"/>
  <c r="S15" i="33"/>
  <c r="W15" i="33"/>
  <c r="U9" i="33"/>
  <c r="J10" i="33"/>
  <c r="W10" i="33" s="1"/>
  <c r="H10" i="33"/>
  <c r="AA10" i="33"/>
  <c r="AB14" i="33"/>
  <c r="W36" i="21"/>
  <c r="AB39" i="21"/>
  <c r="S39" i="21"/>
  <c r="AA36" i="21"/>
  <c r="J15" i="21"/>
  <c r="F77" i="21"/>
  <c r="G77" i="21" s="1"/>
  <c r="F23" i="21"/>
  <c r="E85" i="21"/>
  <c r="AC11" i="21"/>
  <c r="AA14" i="21"/>
  <c r="S8" i="21"/>
  <c r="M3" i="43"/>
  <c r="N10" i="43"/>
  <c r="M1" i="43"/>
  <c r="M8" i="43"/>
  <c r="N8" i="43"/>
  <c r="N9" i="43"/>
  <c r="D120" i="9"/>
  <c r="C18" i="9"/>
  <c r="D18" i="9" s="1"/>
  <c r="F34" i="67"/>
  <c r="F62" i="67" s="1"/>
  <c r="M20" i="67"/>
  <c r="F34" i="15"/>
  <c r="F62" i="15" s="1"/>
  <c r="G13" i="3"/>
  <c r="BA13" i="3"/>
  <c r="BL17" i="3"/>
  <c r="BL13" i="3"/>
  <c r="J56" i="9"/>
  <c r="J57" i="9"/>
  <c r="E32" i="6"/>
  <c r="L19" i="6"/>
  <c r="G1" i="68"/>
  <c r="K1" i="12"/>
  <c r="AQ12"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D63" i="40" s="1"/>
  <c r="E63" i="40" s="1"/>
  <c r="M47" i="9"/>
  <c r="G19" i="43"/>
  <c r="O19" i="43" s="1"/>
  <c r="T35" i="4"/>
  <c r="A19" i="51"/>
  <c r="B14" i="72" s="1"/>
  <c r="C59" i="34"/>
  <c r="D59" i="34" s="1"/>
  <c r="E59" i="34" s="1"/>
  <c r="C52" i="37"/>
  <c r="D52" i="37" s="1"/>
  <c r="A4" i="51"/>
  <c r="B6" i="72" s="1"/>
  <c r="C48" i="35"/>
  <c r="D48" i="35" s="1"/>
  <c r="E48" i="35" s="1"/>
  <c r="C58" i="21"/>
  <c r="D58" i="21" s="1"/>
  <c r="E58" i="21" s="1"/>
  <c r="C4" i="12"/>
  <c r="H66" i="43"/>
  <c r="H65" i="43"/>
  <c r="H64" i="43"/>
  <c r="H63" i="43"/>
  <c r="H55" i="43"/>
  <c r="H56" i="43"/>
  <c r="H76" i="43"/>
  <c r="H72" i="43"/>
  <c r="H77" i="43"/>
  <c r="L20" i="6"/>
  <c r="B6" i="1"/>
  <c r="E6" i="1" s="1"/>
  <c r="S8" i="1"/>
  <c r="AQ8" i="1" s="1"/>
  <c r="K11" i="1"/>
  <c r="M11" i="1" s="1"/>
  <c r="O11" i="1" s="1"/>
  <c r="AP6" i="1"/>
  <c r="B9" i="1"/>
  <c r="E9" i="1"/>
  <c r="K7" i="1"/>
  <c r="G1" i="15"/>
  <c r="G1" i="69"/>
  <c r="G1" i="67"/>
  <c r="U32" i="40"/>
  <c r="S37" i="40"/>
  <c r="W28" i="40"/>
  <c r="W34" i="40"/>
  <c r="W19" i="40"/>
  <c r="S36" i="40"/>
  <c r="W37" i="40"/>
  <c r="AC14" i="40"/>
  <c r="S13" i="40"/>
  <c r="S33" i="40"/>
  <c r="U11" i="40"/>
  <c r="AB13" i="40"/>
  <c r="AB17" i="40"/>
  <c r="U8" i="40"/>
  <c r="S8" i="40"/>
  <c r="AA39" i="39"/>
  <c r="AC41" i="39"/>
  <c r="U41" i="39"/>
  <c r="AC25" i="39"/>
  <c r="U13" i="39"/>
  <c r="AA13" i="39"/>
  <c r="S13" i="39"/>
  <c r="S14" i="39"/>
  <c r="U43" i="39"/>
  <c r="AB43" i="39"/>
  <c r="AA27" i="39"/>
  <c r="W31" i="39"/>
  <c r="S23" i="39"/>
  <c r="W34" i="39"/>
  <c r="S8" i="39"/>
  <c r="S20" i="36"/>
  <c r="AC25" i="36"/>
  <c r="S28" i="36"/>
  <c r="W29" i="36"/>
  <c r="U25" i="36"/>
  <c r="AA13" i="36"/>
  <c r="W9" i="36"/>
  <c r="W22" i="36"/>
  <c r="W23" i="36"/>
  <c r="S9" i="36"/>
  <c r="AC25" i="35"/>
  <c r="S24" i="35"/>
  <c r="AA30" i="35"/>
  <c r="AA16" i="35"/>
  <c r="W36" i="37"/>
  <c r="S27" i="37"/>
  <c r="S28" i="37"/>
  <c r="U36" i="37"/>
  <c r="U38" i="37"/>
  <c r="S33" i="37"/>
  <c r="AC34" i="37"/>
  <c r="AB35" i="37"/>
  <c r="AA31" i="37"/>
  <c r="U19" i="37"/>
  <c r="AA29" i="37"/>
  <c r="AA8" i="37"/>
  <c r="U8" i="37"/>
  <c r="AA40" i="34"/>
  <c r="AB40" i="34"/>
  <c r="U19" i="34"/>
  <c r="W19" i="34"/>
  <c r="AB33" i="34"/>
  <c r="AA30" i="34"/>
  <c r="AB47" i="34"/>
  <c r="AB36" i="34"/>
  <c r="AC14" i="34"/>
  <c r="AC29" i="34"/>
  <c r="W46" i="34"/>
  <c r="AC46" i="34"/>
  <c r="S32" i="34"/>
  <c r="AA32" i="34"/>
  <c r="U30" i="34"/>
  <c r="AB30" i="34"/>
  <c r="S37" i="34"/>
  <c r="AC40" i="34"/>
  <c r="W40" i="34"/>
  <c r="AA19" i="34"/>
  <c r="AA36" i="34"/>
  <c r="AA8" i="34"/>
  <c r="S8" i="34"/>
  <c r="AB9" i="34"/>
  <c r="S46" i="34"/>
  <c r="U32" i="34"/>
  <c r="U14" i="34"/>
  <c r="AC43" i="34"/>
  <c r="W43" i="34"/>
  <c r="AA11" i="34"/>
  <c r="W23" i="34"/>
  <c r="AC23" i="34"/>
  <c r="AC35" i="34"/>
  <c r="W35" i="34"/>
  <c r="U12" i="34"/>
  <c r="AB12" i="34"/>
  <c r="AC37" i="33"/>
  <c r="U39" i="33"/>
  <c r="S33" i="33"/>
  <c r="AB34" i="33"/>
  <c r="U44" i="33"/>
  <c r="AC14" i="33"/>
  <c r="AC30" i="33"/>
  <c r="S31" i="33"/>
  <c r="AA31" i="33"/>
  <c r="W13" i="33"/>
  <c r="AC13" i="33"/>
  <c r="U15" i="33"/>
  <c r="S11" i="33"/>
  <c r="U37" i="33"/>
  <c r="S28" i="33"/>
  <c r="W8" i="33"/>
  <c r="AB42" i="21"/>
  <c r="U28" i="21"/>
  <c r="AA11" i="21"/>
  <c r="S45" i="21"/>
  <c r="I101" i="21"/>
  <c r="J101" i="21" s="1"/>
  <c r="K101" i="21" s="1"/>
  <c r="L101" i="21" s="1"/>
  <c r="M101" i="21" s="1"/>
  <c r="F33" i="21"/>
  <c r="J33" i="21"/>
  <c r="W33" i="21" s="1"/>
  <c r="H33" i="21"/>
  <c r="AB33" i="21"/>
  <c r="F37" i="21"/>
  <c r="AA37" i="21"/>
  <c r="AA26" i="21"/>
  <c r="AB14" i="21"/>
  <c r="U40" i="21"/>
  <c r="U31" i="21"/>
  <c r="U13" i="21"/>
  <c r="W8"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K141" i="21"/>
  <c r="K144" i="21"/>
  <c r="K143" i="21"/>
  <c r="AB25" i="21"/>
  <c r="AA30" i="21"/>
  <c r="W42" i="21"/>
  <c r="F10" i="21"/>
  <c r="S10" i="21" s="1"/>
  <c r="K145" i="21"/>
  <c r="W17" i="21"/>
  <c r="AA29" i="21"/>
  <c r="W31" i="21"/>
  <c r="S17" i="21"/>
  <c r="AA15" i="21"/>
  <c r="AC26" i="21"/>
  <c r="S28" i="21"/>
  <c r="W10" i="21"/>
  <c r="AB36" i="21"/>
  <c r="C19" i="39"/>
  <c r="C15" i="40"/>
  <c r="C17" i="40"/>
  <c r="C23" i="40"/>
  <c r="C21" i="40"/>
  <c r="U30" i="40"/>
  <c r="B54" i="43"/>
  <c r="B65" i="43"/>
  <c r="B49" i="43"/>
  <c r="B52" i="43"/>
  <c r="B56" i="43"/>
  <c r="B60" i="43"/>
  <c r="B63" i="43"/>
  <c r="B67" i="43"/>
  <c r="D23" i="15"/>
  <c r="D22" i="15"/>
  <c r="E4" i="4"/>
  <c r="B5" i="62" s="1"/>
  <c r="B73" i="72" s="1"/>
  <c r="C4" i="4"/>
  <c r="AZ13" i="3"/>
  <c r="F52" i="9"/>
  <c r="D9" i="69"/>
  <c r="C9" i="69" s="1"/>
  <c r="C77" i="9"/>
  <c r="C74" i="9" s="1"/>
  <c r="AA39" i="40"/>
  <c r="J32" i="39"/>
  <c r="W32" i="39" s="1"/>
  <c r="I107" i="39"/>
  <c r="J107" i="39" s="1"/>
  <c r="K107" i="39"/>
  <c r="L107" i="39" s="1"/>
  <c r="M107" i="39" s="1"/>
  <c r="AC21" i="39"/>
  <c r="W21" i="39"/>
  <c r="S26" i="35"/>
  <c r="S9" i="35"/>
  <c r="W26" i="35"/>
  <c r="AB26" i="35"/>
  <c r="U26" i="35"/>
  <c r="AC17" i="37"/>
  <c r="S17" i="37"/>
  <c r="J19" i="37"/>
  <c r="G75" i="37"/>
  <c r="AA19" i="37"/>
  <c r="J23" i="37"/>
  <c r="W23" i="37" s="1"/>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D121" i="9"/>
  <c r="D7" i="52"/>
  <c r="K120" i="9"/>
  <c r="J59" i="9"/>
  <c r="J61" i="9" s="1"/>
  <c r="T8" i="1"/>
  <c r="B21" i="31"/>
  <c r="E52" i="37"/>
  <c r="F58" i="21"/>
  <c r="F48" i="35"/>
  <c r="C65" i="40"/>
  <c r="AP7" i="1"/>
  <c r="AC33" i="21"/>
  <c r="S33" i="21"/>
  <c r="AA33" i="21"/>
  <c r="W32" i="21"/>
  <c r="AB9" i="21"/>
  <c r="AA32" i="21"/>
  <c r="S32" i="21"/>
  <c r="W9" i="21"/>
  <c r="AC9" i="21"/>
  <c r="AB32" i="21"/>
  <c r="U32" i="21"/>
  <c r="A18" i="62"/>
  <c r="B64" i="72" s="1"/>
  <c r="W19" i="37"/>
  <c r="AC19" i="37"/>
  <c r="AC23" i="37"/>
  <c r="AB11" i="37"/>
  <c r="U11" i="37"/>
  <c r="I63" i="37"/>
  <c r="J63" i="37" s="1"/>
  <c r="K63" i="37"/>
  <c r="L63" i="37" s="1"/>
  <c r="M63" i="37" s="1"/>
  <c r="J11" i="37"/>
  <c r="U11" i="34"/>
  <c r="AB11" i="34"/>
  <c r="AC10" i="34"/>
  <c r="H70" i="34"/>
  <c r="I70" i="34" s="1"/>
  <c r="J70" i="34"/>
  <c r="K70" i="34" s="1"/>
  <c r="L70" i="34" s="1"/>
  <c r="M70" i="34" s="1"/>
  <c r="J11" i="34"/>
  <c r="W11" i="34" s="1"/>
  <c r="W36" i="33"/>
  <c r="U36" i="33"/>
  <c r="AB36" i="33"/>
  <c r="W25" i="33"/>
  <c r="AC25" i="33"/>
  <c r="S23" i="33"/>
  <c r="AB19" i="33"/>
  <c r="U19" i="33"/>
  <c r="AA17" i="33"/>
  <c r="S17" i="33"/>
  <c r="AB17" i="33"/>
  <c r="AB23" i="21"/>
  <c r="AC23" i="21"/>
  <c r="W23" i="21"/>
  <c r="D65" i="40"/>
  <c r="F1" i="67"/>
  <c r="Q52" i="67"/>
  <c r="AC11" i="37"/>
  <c r="W11" i="37"/>
  <c r="C13" i="12"/>
  <c r="F34" i="11"/>
  <c r="F11" i="12"/>
  <c r="F34" i="68"/>
  <c r="R8" i="1"/>
  <c r="AE8" i="1"/>
  <c r="AG6" i="1"/>
  <c r="H109" i="9"/>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B11" i="76"/>
  <c r="F8" i="67"/>
  <c r="M24" i="67"/>
  <c r="AO13" i="1"/>
  <c r="E7" i="76"/>
  <c r="B10" i="76"/>
  <c r="F36" i="15"/>
  <c r="F16" i="15"/>
  <c r="E11" i="76"/>
  <c r="F37" i="67"/>
  <c r="E10" i="76"/>
  <c r="D2" i="37"/>
  <c r="M6" i="15"/>
  <c r="F38" i="67"/>
  <c r="D2" i="21"/>
  <c r="D2" i="34"/>
  <c r="AO10" i="1"/>
  <c r="F9" i="67"/>
  <c r="L47" i="15"/>
  <c r="F13" i="67"/>
  <c r="L47" i="67"/>
  <c r="E2" i="69"/>
  <c r="F13" i="15"/>
  <c r="F37" i="15"/>
  <c r="M28" i="15"/>
  <c r="AO8" i="1"/>
  <c r="B9" i="76"/>
  <c r="D2" i="33"/>
  <c r="AO11" i="1"/>
  <c r="D2" i="36"/>
  <c r="AO9" i="1"/>
  <c r="M23" i="15"/>
  <c r="F20" i="31"/>
  <c r="D2" i="35"/>
  <c r="E9" i="76"/>
  <c r="M6" i="67"/>
  <c r="B8" i="76"/>
  <c r="AO12" i="1"/>
  <c r="J15" i="67"/>
  <c r="F40" i="15"/>
  <c r="F6" i="15"/>
  <c r="E8" i="76"/>
  <c r="B7" i="76"/>
  <c r="M8" i="15"/>
  <c r="B12" i="76"/>
  <c r="B13" i="76"/>
  <c r="E12" i="76"/>
  <c r="E2" i="68"/>
  <c r="M28" i="67"/>
  <c r="E13" i="76"/>
  <c r="M24" i="15"/>
  <c r="AZ390" i="3" l="1"/>
  <c r="AZ344" i="3"/>
  <c r="AZ128" i="3"/>
  <c r="AZ394" i="3"/>
  <c r="AZ376" i="3"/>
  <c r="AZ313" i="3"/>
  <c r="AZ523" i="3"/>
  <c r="AZ527" i="3"/>
  <c r="BL398" i="3"/>
  <c r="BL404" i="3"/>
  <c r="BL405" i="3"/>
  <c r="BA407" i="3"/>
  <c r="AZ407" i="3" s="1"/>
  <c r="BA408" i="3"/>
  <c r="AZ408" i="3" s="1"/>
  <c r="BA409" i="3"/>
  <c r="BL409" i="3"/>
  <c r="BA410" i="3"/>
  <c r="AZ410" i="3" s="1"/>
  <c r="BA412" i="3"/>
  <c r="BL412" i="3"/>
  <c r="BL413" i="3"/>
  <c r="BL416" i="3"/>
  <c r="BA417" i="3"/>
  <c r="AZ417" i="3" s="1"/>
  <c r="BA418" i="3"/>
  <c r="AZ418" i="3" s="1"/>
  <c r="BA419" i="3"/>
  <c r="AZ419" i="3" s="1"/>
  <c r="BA423" i="3"/>
  <c r="AZ423" i="3" s="1"/>
  <c r="BA427" i="3"/>
  <c r="AZ427" i="3" s="1"/>
  <c r="BL427" i="3"/>
  <c r="BL429" i="3"/>
  <c r="BL431" i="3"/>
  <c r="AZ14" i="3"/>
  <c r="AZ512" i="3"/>
  <c r="BL16" i="3"/>
  <c r="AZ16" i="3" s="1"/>
  <c r="BA433" i="3"/>
  <c r="BL433" i="3"/>
  <c r="BL435" i="3"/>
  <c r="BL437" i="3"/>
  <c r="BL443" i="3"/>
  <c r="BA445" i="3"/>
  <c r="AZ445" i="3" s="1"/>
  <c r="BA446" i="3"/>
  <c r="AZ446" i="3" s="1"/>
  <c r="BA447" i="3"/>
  <c r="BL447" i="3"/>
  <c r="BA448" i="3"/>
  <c r="BL461" i="3"/>
  <c r="BA463" i="3"/>
  <c r="BL463" i="3"/>
  <c r="BL465" i="3"/>
  <c r="BL467" i="3"/>
  <c r="BA469" i="3"/>
  <c r="BL469" i="3"/>
  <c r="BA475" i="3"/>
  <c r="AZ475" i="3" s="1"/>
  <c r="BL478" i="3"/>
  <c r="BL480" i="3"/>
  <c r="BL486" i="3"/>
  <c r="BL488" i="3"/>
  <c r="BA489" i="3"/>
  <c r="AZ489" i="3" s="1"/>
  <c r="BA490" i="3"/>
  <c r="AZ490" i="3" s="1"/>
  <c r="BA491" i="3"/>
  <c r="AZ491" i="3" s="1"/>
  <c r="BL314" i="3"/>
  <c r="AZ314" i="3" s="1"/>
  <c r="BL316" i="3"/>
  <c r="BL324" i="3"/>
  <c r="AZ324" i="3" s="1"/>
  <c r="BL333" i="3"/>
  <c r="BL367" i="3"/>
  <c r="BL395" i="3"/>
  <c r="BL397" i="3"/>
  <c r="BA209" i="3"/>
  <c r="BL209" i="3"/>
  <c r="BL213" i="3"/>
  <c r="BL215" i="3"/>
  <c r="BL217" i="3"/>
  <c r="BL219" i="3"/>
  <c r="BL221" i="3"/>
  <c r="BA223" i="3"/>
  <c r="AZ223" i="3" s="1"/>
  <c r="BA224" i="3"/>
  <c r="BL224" i="3"/>
  <c r="BA226" i="3"/>
  <c r="AZ226" i="3" s="1"/>
  <c r="BA227" i="3"/>
  <c r="AZ227" i="3" s="1"/>
  <c r="BL228" i="3"/>
  <c r="BA230" i="3"/>
  <c r="BL230" i="3"/>
  <c r="BL232" i="3"/>
  <c r="BL236" i="3"/>
  <c r="BL238" i="3"/>
  <c r="BL240" i="3"/>
  <c r="BL242" i="3"/>
  <c r="BL244" i="3"/>
  <c r="BL246" i="3"/>
  <c r="BL248" i="3"/>
  <c r="BL250" i="3"/>
  <c r="BL252" i="3"/>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A302" i="3"/>
  <c r="AZ302" i="3" s="1"/>
  <c r="BA113" i="3"/>
  <c r="AZ113" i="3" s="1"/>
  <c r="BA114" i="3"/>
  <c r="AZ114" i="3" s="1"/>
  <c r="BL115" i="3"/>
  <c r="BA117" i="3"/>
  <c r="BL117" i="3"/>
  <c r="BA118" i="3"/>
  <c r="AZ118" i="3" s="1"/>
  <c r="BL119" i="3"/>
  <c r="BA121" i="3"/>
  <c r="AZ121" i="3" s="1"/>
  <c r="BA124" i="3"/>
  <c r="AZ124" i="3" s="1"/>
  <c r="BL133" i="3"/>
  <c r="BL137" i="3"/>
  <c r="BA141" i="3"/>
  <c r="AZ141" i="3" s="1"/>
  <c r="BA142" i="3"/>
  <c r="AZ142" i="3" s="1"/>
  <c r="BL143" i="3"/>
  <c r="BA145" i="3"/>
  <c r="AZ145" i="3" s="1"/>
  <c r="BA146" i="3"/>
  <c r="AZ146" i="3" s="1"/>
  <c r="BL151" i="3"/>
  <c r="AZ151" i="3" s="1"/>
  <c r="BA154" i="3"/>
  <c r="AZ154" i="3" s="1"/>
  <c r="BL155" i="3"/>
  <c r="AZ155" i="3" s="1"/>
  <c r="BA157" i="3"/>
  <c r="AZ157" i="3" s="1"/>
  <c r="BL158" i="3"/>
  <c r="BA160" i="3"/>
  <c r="AZ160" i="3" s="1"/>
  <c r="BL162" i="3"/>
  <c r="AZ181" i="3"/>
  <c r="BL181" i="3"/>
  <c r="BL185" i="3"/>
  <c r="BL187" i="3"/>
  <c r="AZ187" i="3" s="1"/>
  <c r="BA189" i="3"/>
  <c r="AZ189" i="3" s="1"/>
  <c r="BA190" i="3"/>
  <c r="AZ190" i="3" s="1"/>
  <c r="BL191" i="3"/>
  <c r="BA193" i="3"/>
  <c r="AZ193" i="3" s="1"/>
  <c r="BL194" i="3"/>
  <c r="BL198" i="3"/>
  <c r="BA200" i="3"/>
  <c r="AZ200" i="3" s="1"/>
  <c r="BL202" i="3"/>
  <c r="BA204" i="3"/>
  <c r="AZ204" i="3" s="1"/>
  <c r="BA206" i="3"/>
  <c r="BL206" i="3"/>
  <c r="BL18" i="3"/>
  <c r="BA19" i="3"/>
  <c r="AZ19" i="3" s="1"/>
  <c r="BA20" i="3"/>
  <c r="AZ20" i="3" s="1"/>
  <c r="BL21" i="3"/>
  <c r="BA23" i="3"/>
  <c r="AZ23" i="3" s="1"/>
  <c r="BA24" i="3"/>
  <c r="AZ24" i="3" s="1"/>
  <c r="BL27" i="3"/>
  <c r="BL31" i="3"/>
  <c r="BA33" i="3"/>
  <c r="AZ33" i="3" s="1"/>
  <c r="BA34" i="3"/>
  <c r="AZ34" i="3" s="1"/>
  <c r="BL35" i="3"/>
  <c r="BA54" i="3"/>
  <c r="AZ54" i="3" s="1"/>
  <c r="BA55" i="3"/>
  <c r="AZ55" i="3" s="1"/>
  <c r="BA56" i="3"/>
  <c r="BL56" i="3"/>
  <c r="BA57" i="3"/>
  <c r="AZ57" i="3" s="1"/>
  <c r="BA58" i="3"/>
  <c r="AZ58" i="3" s="1"/>
  <c r="BA59" i="3"/>
  <c r="AZ59" i="3" s="1"/>
  <c r="BA60" i="3"/>
  <c r="AZ60" i="3" s="1"/>
  <c r="BA61" i="3"/>
  <c r="AZ61" i="3" s="1"/>
  <c r="BA62" i="3"/>
  <c r="AZ62" i="3" s="1"/>
  <c r="BA63" i="3"/>
  <c r="BL63" i="3"/>
  <c r="BA64" i="3"/>
  <c r="AZ64" i="3" s="1"/>
  <c r="BA66" i="3"/>
  <c r="BL66" i="3"/>
  <c r="BA68" i="3"/>
  <c r="AZ68" i="3" s="1"/>
  <c r="BA69" i="3"/>
  <c r="AZ69" i="3" s="1"/>
  <c r="BA70" i="3"/>
  <c r="BL70" i="3"/>
  <c r="BA72" i="3"/>
  <c r="BL72" i="3"/>
  <c r="BA73" i="3"/>
  <c r="AZ73" i="3" s="1"/>
  <c r="BA74" i="3"/>
  <c r="AZ74" i="3" s="1"/>
  <c r="BA75" i="3"/>
  <c r="AZ75" i="3" s="1"/>
  <c r="BA77" i="3"/>
  <c r="AZ77" i="3" s="1"/>
  <c r="BL78" i="3"/>
  <c r="BL80" i="3"/>
  <c r="BA82" i="3"/>
  <c r="AZ82" i="3" s="1"/>
  <c r="BL83" i="3"/>
  <c r="BA85" i="3"/>
  <c r="BL85" i="3"/>
  <c r="BA86" i="3"/>
  <c r="AZ86" i="3" s="1"/>
  <c r="BA87" i="3"/>
  <c r="AZ87" i="3" s="1"/>
  <c r="BA88" i="3"/>
  <c r="AZ88" i="3" s="1"/>
  <c r="BA89" i="3"/>
  <c r="AZ89" i="3" s="1"/>
  <c r="BA90" i="3"/>
  <c r="BL90" i="3"/>
  <c r="BA91" i="3"/>
  <c r="AZ91" i="3" s="1"/>
  <c r="BA92" i="3"/>
  <c r="AZ92" i="3" s="1"/>
  <c r="BA93" i="3"/>
  <c r="BL93" i="3"/>
  <c r="BA94" i="3"/>
  <c r="AZ94" i="3" s="1"/>
  <c r="BA95" i="3"/>
  <c r="AZ95" i="3" s="1"/>
  <c r="BA96" i="3"/>
  <c r="BL96" i="3"/>
  <c r="BA98" i="3"/>
  <c r="AZ98" i="3" s="1"/>
  <c r="BA99" i="3"/>
  <c r="BL99" i="3"/>
  <c r="BA100" i="3"/>
  <c r="AZ100" i="3" s="1"/>
  <c r="BA101" i="3"/>
  <c r="AZ101" i="3" s="1"/>
  <c r="BA102" i="3"/>
  <c r="AZ102" i="3" s="1"/>
  <c r="BA104" i="3"/>
  <c r="AZ104" i="3" s="1"/>
  <c r="BA105" i="3"/>
  <c r="AZ105" i="3" s="1"/>
  <c r="BA106" i="3"/>
  <c r="AZ106" i="3" s="1"/>
  <c r="BA107" i="3"/>
  <c r="BL107" i="3"/>
  <c r="BL109" i="3"/>
  <c r="BL111" i="3"/>
  <c r="H110" i="9"/>
  <c r="D18" i="53" s="1"/>
  <c r="B35" i="72" s="1"/>
  <c r="D16" i="53"/>
  <c r="AA13" i="21"/>
  <c r="S13" i="21"/>
  <c r="U45" i="21"/>
  <c r="AB45" i="21"/>
  <c r="S23" i="21"/>
  <c r="AA23" i="21"/>
  <c r="W15" i="21"/>
  <c r="AC15" i="21"/>
  <c r="AC33" i="34"/>
  <c r="W33" i="34"/>
  <c r="AC30" i="40"/>
  <c r="W30" i="40"/>
  <c r="AC27" i="40"/>
  <c r="W27" i="40"/>
  <c r="U20" i="35"/>
  <c r="AB20" i="35"/>
  <c r="U20" i="36"/>
  <c r="AB20" i="36"/>
  <c r="S33" i="34"/>
  <c r="AA33" i="34"/>
  <c r="AA15" i="37"/>
  <c r="S15" i="37"/>
  <c r="U31" i="40"/>
  <c r="AB31" i="40"/>
  <c r="AA37" i="37"/>
  <c r="S37" i="37"/>
  <c r="AC32" i="37"/>
  <c r="W32" i="37"/>
  <c r="AB24" i="35"/>
  <c r="U24" i="35"/>
  <c r="U35" i="34"/>
  <c r="AB35" i="34"/>
  <c r="AA14" i="36"/>
  <c r="S14" i="36"/>
  <c r="S25" i="21"/>
  <c r="AA25" i="21"/>
  <c r="AZ571" i="3"/>
  <c r="AZ581" i="3"/>
  <c r="AZ494" i="3"/>
  <c r="AZ500" i="3"/>
  <c r="AZ518" i="3"/>
  <c r="AZ562" i="3"/>
  <c r="AC14" i="39"/>
  <c r="W14" i="39"/>
  <c r="AA13" i="34"/>
  <c r="S13" i="34"/>
  <c r="AA46" i="33"/>
  <c r="S46" i="33"/>
  <c r="S44" i="33"/>
  <c r="AA44" i="33"/>
  <c r="U37" i="37"/>
  <c r="AB37" i="37"/>
  <c r="U11" i="36"/>
  <c r="AB11" i="36"/>
  <c r="W32" i="36"/>
  <c r="AC32" i="36"/>
  <c r="U28" i="36"/>
  <c r="AB28" i="36"/>
  <c r="W32" i="34"/>
  <c r="AC32" i="34"/>
  <c r="W31" i="33"/>
  <c r="AC31" i="33"/>
  <c r="AC33" i="35"/>
  <c r="W33" i="35"/>
  <c r="W28" i="33"/>
  <c r="AC28" i="33"/>
  <c r="U28" i="33"/>
  <c r="AB28" i="33"/>
  <c r="W11" i="33"/>
  <c r="AC11" i="33"/>
  <c r="AC25" i="34"/>
  <c r="W25" i="34"/>
  <c r="AB38" i="34"/>
  <c r="U38" i="34"/>
  <c r="S15" i="40"/>
  <c r="AA15" i="40"/>
  <c r="U28" i="40"/>
  <c r="AB28" i="40"/>
  <c r="AC16" i="35"/>
  <c r="W16" i="35"/>
  <c r="AA23" i="35"/>
  <c r="S23" i="35"/>
  <c r="S34" i="36"/>
  <c r="AA34" i="36"/>
  <c r="AA22" i="35"/>
  <c r="S22" i="35"/>
  <c r="AC23" i="40"/>
  <c r="W23" i="40"/>
  <c r="AC36" i="39"/>
  <c r="W36" i="39"/>
  <c r="W45" i="39"/>
  <c r="AC45" i="39"/>
  <c r="AB26" i="21"/>
  <c r="U26" i="21"/>
  <c r="AA35" i="21"/>
  <c r="S35" i="21"/>
  <c r="W34" i="21"/>
  <c r="AC34" i="21"/>
  <c r="AB10" i="21"/>
  <c r="U10" i="21"/>
  <c r="W40" i="21"/>
  <c r="AC40" i="21"/>
  <c r="S43" i="21"/>
  <c r="AA43" i="21"/>
  <c r="AA34" i="21"/>
  <c r="S34" i="21"/>
  <c r="AC43" i="21"/>
  <c r="W43" i="21"/>
  <c r="AA12" i="21"/>
  <c r="S12" i="21"/>
  <c r="AZ584" i="3"/>
  <c r="BL583" i="3"/>
  <c r="AZ583" i="3" s="1"/>
  <c r="BL573" i="3"/>
  <c r="AZ573" i="3" s="1"/>
  <c r="AZ555" i="3"/>
  <c r="BL553" i="3"/>
  <c r="AZ553" i="3" s="1"/>
  <c r="BL547" i="3"/>
  <c r="AZ547" i="3" s="1"/>
  <c r="AZ545" i="3"/>
  <c r="BI5" i="3"/>
  <c r="BE5" i="3"/>
  <c r="BT5" i="3"/>
  <c r="BL543" i="3"/>
  <c r="AZ543" i="3" s="1"/>
  <c r="BS5" i="3"/>
  <c r="F28" i="6" s="1"/>
  <c r="BH5" i="3"/>
  <c r="BD5" i="3"/>
  <c r="D124" i="9"/>
  <c r="AC11" i="34"/>
  <c r="W10" i="37"/>
  <c r="AA10" i="21"/>
  <c r="E65" i="40"/>
  <c r="F63" i="40"/>
  <c r="S11" i="37"/>
  <c r="AA11" i="37"/>
  <c r="S23" i="37"/>
  <c r="AA23" i="37"/>
  <c r="AC39" i="39"/>
  <c r="W39" i="39"/>
  <c r="AA30" i="40"/>
  <c r="S30" i="40"/>
  <c r="AA20" i="35"/>
  <c r="S20" i="35"/>
  <c r="W20" i="36"/>
  <c r="AC20" i="36"/>
  <c r="W34" i="33"/>
  <c r="AC34" i="33"/>
  <c r="H52" i="43"/>
  <c r="H49" i="43"/>
  <c r="H54" i="43"/>
  <c r="H51" i="43"/>
  <c r="G28" i="6"/>
  <c r="H62" i="43"/>
  <c r="H61" i="43"/>
  <c r="H60" i="43"/>
  <c r="H59" i="43"/>
  <c r="H67" i="43"/>
  <c r="W36" i="40"/>
  <c r="AC36" i="40"/>
  <c r="S32" i="40"/>
  <c r="AA32" i="40"/>
  <c r="AA31" i="40"/>
  <c r="S31" i="40"/>
  <c r="AC41" i="34"/>
  <c r="W41" i="34"/>
  <c r="AB27" i="34"/>
  <c r="U27" i="34"/>
  <c r="AC25" i="21"/>
  <c r="W25" i="21"/>
  <c r="AC5" i="3"/>
  <c r="G509" i="3"/>
  <c r="AZ495" i="3"/>
  <c r="AZ499" i="3"/>
  <c r="AZ513" i="3"/>
  <c r="AZ517" i="3"/>
  <c r="W13" i="39"/>
  <c r="AC13" i="39"/>
  <c r="AC46" i="33"/>
  <c r="W46" i="33"/>
  <c r="AC44" i="33"/>
  <c r="W44" i="33"/>
  <c r="S14" i="33"/>
  <c r="AA14" i="33"/>
  <c r="AA40" i="37"/>
  <c r="S40" i="37"/>
  <c r="W29" i="37"/>
  <c r="AC29" i="37"/>
  <c r="AA11" i="36"/>
  <c r="S11" i="36"/>
  <c r="AB32" i="36"/>
  <c r="U32" i="36"/>
  <c r="W26" i="36"/>
  <c r="AC26" i="36"/>
  <c r="AC11" i="35"/>
  <c r="W11" i="35"/>
  <c r="W30" i="34"/>
  <c r="AC30" i="34"/>
  <c r="AA45" i="33"/>
  <c r="S45" i="33"/>
  <c r="S29" i="33"/>
  <c r="AA29" i="33"/>
  <c r="AC29" i="33"/>
  <c r="W29" i="33"/>
  <c r="S33" i="35"/>
  <c r="AA33" i="35"/>
  <c r="U26" i="33"/>
  <c r="AB26" i="33"/>
  <c r="W10" i="35"/>
  <c r="AC10" i="35"/>
  <c r="AC37" i="34"/>
  <c r="W37" i="34"/>
  <c r="AB25" i="34"/>
  <c r="U25" i="34"/>
  <c r="W36" i="34"/>
  <c r="AC36" i="34"/>
  <c r="AB15" i="40"/>
  <c r="U15" i="40"/>
  <c r="AA23" i="40"/>
  <c r="S23" i="40"/>
  <c r="S35" i="37"/>
  <c r="AA35" i="37"/>
  <c r="U16" i="35"/>
  <c r="AB16" i="35"/>
  <c r="AC32" i="35"/>
  <c r="W32" i="35"/>
  <c r="AA14" i="35"/>
  <c r="S14" i="35"/>
  <c r="U10" i="35"/>
  <c r="AB10" i="35"/>
  <c r="AB30" i="35"/>
  <c r="U30" i="35"/>
  <c r="AB42" i="39"/>
  <c r="U42" i="39"/>
  <c r="AB40" i="39"/>
  <c r="U40" i="39"/>
  <c r="AA11" i="40"/>
  <c r="S11" i="40"/>
  <c r="AB36" i="39"/>
  <c r="U36" i="39"/>
  <c r="S45" i="39"/>
  <c r="AA45" i="39"/>
  <c r="U8" i="21"/>
  <c r="AB8" i="21"/>
  <c r="AB35" i="21"/>
  <c r="U35" i="21"/>
  <c r="S38" i="21"/>
  <c r="AA38" i="21"/>
  <c r="BA587" i="3"/>
  <c r="AZ587" i="3" s="1"/>
  <c r="BA586" i="3"/>
  <c r="AZ586" i="3" s="1"/>
  <c r="AC27" i="21"/>
  <c r="W27" i="21"/>
  <c r="J27" i="39"/>
  <c r="AC27" i="39" s="1"/>
  <c r="G101" i="39"/>
  <c r="BL569" i="3"/>
  <c r="AZ569" i="3" s="1"/>
  <c r="BL557" i="3"/>
  <c r="AZ557" i="3" s="1"/>
  <c r="AZ486" i="3"/>
  <c r="AZ488" i="3"/>
  <c r="J39" i="40"/>
  <c r="H39" i="40"/>
  <c r="J27" i="33"/>
  <c r="H32" i="39"/>
  <c r="AC45" i="21"/>
  <c r="W9" i="33"/>
  <c r="U38" i="33"/>
  <c r="AZ17" i="3"/>
  <c r="W41" i="21"/>
  <c r="H27" i="33"/>
  <c r="W38" i="33"/>
  <c r="U43" i="34"/>
  <c r="W39" i="37"/>
  <c r="S25" i="37"/>
  <c r="H9" i="35"/>
  <c r="S32" i="35"/>
  <c r="U36" i="35"/>
  <c r="F32" i="39"/>
  <c r="S32" i="39" s="1"/>
  <c r="F53" i="9"/>
  <c r="F30" i="84"/>
  <c r="F30" i="83"/>
  <c r="M18" i="79"/>
  <c r="F32" i="79"/>
  <c r="F60" i="79" s="1"/>
  <c r="F28" i="79"/>
  <c r="C28" i="79" s="1"/>
  <c r="F12" i="33"/>
  <c r="AC14" i="35"/>
  <c r="BB5" i="3"/>
  <c r="BN5" i="3"/>
  <c r="BM5" i="3"/>
  <c r="AZ377" i="3"/>
  <c r="AZ369" i="3"/>
  <c r="AZ361" i="3"/>
  <c r="AZ338" i="3"/>
  <c r="AZ306" i="3"/>
  <c r="AZ355" i="3"/>
  <c r="AZ351" i="3"/>
  <c r="AZ336" i="3"/>
  <c r="AZ305" i="3"/>
  <c r="J13" i="37"/>
  <c r="F13" i="37"/>
  <c r="H35" i="35"/>
  <c r="F35" i="35"/>
  <c r="H25" i="35"/>
  <c r="F25" i="35"/>
  <c r="H13" i="35"/>
  <c r="J13" i="35"/>
  <c r="J47" i="34"/>
  <c r="F47" i="34"/>
  <c r="F45" i="34"/>
  <c r="J45" i="34"/>
  <c r="F31" i="34"/>
  <c r="H31" i="34"/>
  <c r="H29" i="34"/>
  <c r="F30" i="33"/>
  <c r="H29" i="21"/>
  <c r="F27" i="21"/>
  <c r="H27" i="21"/>
  <c r="J13" i="21"/>
  <c r="F46" i="21"/>
  <c r="J46" i="21"/>
  <c r="F44" i="21"/>
  <c r="H44" i="21"/>
  <c r="U34" i="37"/>
  <c r="S8" i="33"/>
  <c r="S38" i="33"/>
  <c r="F27" i="34"/>
  <c r="F12" i="36"/>
  <c r="W31" i="40"/>
  <c r="W33" i="33"/>
  <c r="U35" i="33"/>
  <c r="S9" i="33"/>
  <c r="F26" i="33"/>
  <c r="S34" i="34"/>
  <c r="U34" i="35"/>
  <c r="W34" i="35"/>
  <c r="AA31" i="36"/>
  <c r="U30" i="37"/>
  <c r="W40" i="39"/>
  <c r="H12" i="21"/>
  <c r="J12" i="21"/>
  <c r="J23" i="35"/>
  <c r="H12" i="36"/>
  <c r="H24" i="36"/>
  <c r="F26" i="37"/>
  <c r="F38" i="40"/>
  <c r="J38" i="40"/>
  <c r="H38" i="40"/>
  <c r="BA550" i="3"/>
  <c r="AZ550" i="3" s="1"/>
  <c r="M20" i="15"/>
  <c r="F34" i="79"/>
  <c r="F62" i="79" s="1"/>
  <c r="M20" i="79"/>
  <c r="AZ132" i="3"/>
  <c r="B75" i="43"/>
  <c r="B66" i="43"/>
  <c r="B55" i="43"/>
  <c r="C29" i="39"/>
  <c r="D29" i="71"/>
  <c r="T29" i="71"/>
  <c r="C17" i="71"/>
  <c r="D16" i="71"/>
  <c r="X12" i="71"/>
  <c r="X13" i="71"/>
  <c r="Y14" i="71"/>
  <c r="Z14" i="71" s="1"/>
  <c r="Y11" i="71"/>
  <c r="Z11" i="71" s="1"/>
  <c r="Y13" i="71"/>
  <c r="Z13" i="71" s="1"/>
  <c r="AB14" i="71"/>
  <c r="AB13" i="71"/>
  <c r="AA15" i="71"/>
  <c r="AA16" i="71"/>
  <c r="AA12" i="71"/>
  <c r="D23" i="71"/>
  <c r="C24" i="71"/>
  <c r="AB19" i="71"/>
  <c r="AB22" i="71"/>
  <c r="C36" i="71"/>
  <c r="D35" i="71"/>
  <c r="D41" i="71"/>
  <c r="T41" i="71"/>
  <c r="C44" i="71"/>
  <c r="D43" i="71"/>
  <c r="D48" i="71"/>
  <c r="C49" i="71"/>
  <c r="S53" i="71"/>
  <c r="B52" i="71"/>
  <c r="T57" i="71"/>
  <c r="C56" i="71"/>
  <c r="D57" i="71"/>
  <c r="T65" i="71"/>
  <c r="C64" i="71"/>
  <c r="V9" i="71"/>
  <c r="E8" i="71"/>
  <c r="E7" i="71" s="1"/>
  <c r="X8" i="71"/>
  <c r="B9" i="71"/>
  <c r="X9" i="71"/>
  <c r="AA6" i="71"/>
  <c r="AA7" i="71"/>
  <c r="AB6" i="71"/>
  <c r="AB5" i="71"/>
  <c r="E19" i="84"/>
  <c r="E19" i="83"/>
  <c r="BL15" i="3"/>
  <c r="F34" i="84"/>
  <c r="F34" i="83"/>
  <c r="G22" i="84"/>
  <c r="G41" i="84"/>
  <c r="G41" i="83"/>
  <c r="G22" i="83"/>
  <c r="G398" i="3"/>
  <c r="BA399" i="3"/>
  <c r="AZ399" i="3" s="1"/>
  <c r="BL400" i="3"/>
  <c r="G401" i="3"/>
  <c r="BL402" i="3"/>
  <c r="G403" i="3"/>
  <c r="BA404" i="3"/>
  <c r="AZ404" i="3" s="1"/>
  <c r="BL406" i="3"/>
  <c r="G407" i="3"/>
  <c r="G408" i="3"/>
  <c r="G409" i="3"/>
  <c r="G411" i="3"/>
  <c r="BL411" i="3"/>
  <c r="G412" i="3"/>
  <c r="BA414" i="3"/>
  <c r="AZ414" i="3" s="1"/>
  <c r="BA416" i="3"/>
  <c r="AZ416" i="3" s="1"/>
  <c r="G418" i="3"/>
  <c r="G419" i="3"/>
  <c r="BL420" i="3"/>
  <c r="G421" i="3"/>
  <c r="BA422" i="3"/>
  <c r="BL422" i="3"/>
  <c r="G423" i="3"/>
  <c r="BL424" i="3"/>
  <c r="G425" i="3"/>
  <c r="BA426" i="3"/>
  <c r="AZ426" i="3" s="1"/>
  <c r="BA428" i="3"/>
  <c r="BL428" i="3"/>
  <c r="BA429" i="3"/>
  <c r="AZ429" i="3" s="1"/>
  <c r="BA431" i="3"/>
  <c r="AZ431" i="3" s="1"/>
  <c r="BA432" i="3"/>
  <c r="BL432" i="3"/>
  <c r="BA434" i="3"/>
  <c r="BL434" i="3"/>
  <c r="G435" i="3"/>
  <c r="BA436" i="3"/>
  <c r="AZ436" i="3" s="1"/>
  <c r="BA437" i="3"/>
  <c r="AZ437" i="3" s="1"/>
  <c r="BA438" i="3"/>
  <c r="AZ438" i="3" s="1"/>
  <c r="BL439" i="3"/>
  <c r="G440" i="3"/>
  <c r="G441" i="3"/>
  <c r="BA442" i="3"/>
  <c r="AZ442" i="3" s="1"/>
  <c r="BA443" i="3"/>
  <c r="AZ443" i="3" s="1"/>
  <c r="BL444" i="3"/>
  <c r="G445" i="3"/>
  <c r="G446" i="3"/>
  <c r="G447" i="3"/>
  <c r="G450" i="3"/>
  <c r="BA451" i="3"/>
  <c r="AZ451" i="3" s="1"/>
  <c r="BL452" i="3"/>
  <c r="G453" i="3"/>
  <c r="G454" i="3"/>
  <c r="G455" i="3"/>
  <c r="BL455" i="3"/>
  <c r="G456" i="3"/>
  <c r="G457" i="3"/>
  <c r="G458" i="3"/>
  <c r="G459" i="3"/>
  <c r="G460" i="3"/>
  <c r="BA461" i="3"/>
  <c r="AZ461" i="3" s="1"/>
  <c r="BA462" i="3"/>
  <c r="AZ462" i="3" s="1"/>
  <c r="BA464" i="3"/>
  <c r="AZ464" i="3" s="1"/>
  <c r="BA465" i="3"/>
  <c r="AZ465" i="3" s="1"/>
  <c r="BA467" i="3"/>
  <c r="AZ467" i="3" s="1"/>
  <c r="BA470" i="3"/>
  <c r="AZ470" i="3" s="1"/>
  <c r="BL471" i="3"/>
  <c r="G472" i="3"/>
  <c r="G473" i="3"/>
  <c r="BL474" i="3"/>
  <c r="G475" i="3"/>
  <c r="BL476" i="3"/>
  <c r="G477" i="3"/>
  <c r="BA478" i="3"/>
  <c r="AZ478" i="3" s="1"/>
  <c r="BA480" i="3"/>
  <c r="AZ480" i="3" s="1"/>
  <c r="BA481" i="3"/>
  <c r="AZ481" i="3" s="1"/>
  <c r="BL482" i="3"/>
  <c r="G483" i="3"/>
  <c r="G484" i="3"/>
  <c r="G311" i="3"/>
  <c r="BL312" i="3"/>
  <c r="AZ312" i="3" s="1"/>
  <c r="G313" i="3"/>
  <c r="BA315" i="3"/>
  <c r="BL317" i="3"/>
  <c r="G318" i="3"/>
  <c r="BA319" i="3"/>
  <c r="BA323" i="3"/>
  <c r="G329" i="3"/>
  <c r="BL330" i="3"/>
  <c r="AZ330" i="3" s="1"/>
  <c r="G331" i="3"/>
  <c r="BA332" i="3"/>
  <c r="AZ332" i="3" s="1"/>
  <c r="BA333" i="3"/>
  <c r="AZ333" i="3" s="1"/>
  <c r="G339" i="3"/>
  <c r="G349" i="3"/>
  <c r="BL350" i="3"/>
  <c r="G351" i="3"/>
  <c r="BA352" i="3"/>
  <c r="BL354" i="3"/>
  <c r="BA358" i="3"/>
  <c r="G364" i="3"/>
  <c r="BL365" i="3"/>
  <c r="AZ365" i="3" s="1"/>
  <c r="G366" i="3"/>
  <c r="BA367" i="3"/>
  <c r="AZ367" i="3" s="1"/>
  <c r="BA368" i="3"/>
  <c r="BL368" i="3"/>
  <c r="G369" i="3"/>
  <c r="G378" i="3"/>
  <c r="G380" i="3"/>
  <c r="G384" i="3"/>
  <c r="BL386" i="3"/>
  <c r="AZ386" i="3" s="1"/>
  <c r="G387" i="3"/>
  <c r="BA395" i="3"/>
  <c r="AZ395" i="3" s="1"/>
  <c r="BA396" i="3"/>
  <c r="AZ396" i="3" s="1"/>
  <c r="BA397" i="3"/>
  <c r="AZ397" i="3" s="1"/>
  <c r="BA208" i="3"/>
  <c r="BL208" i="3"/>
  <c r="BA210" i="3"/>
  <c r="AZ210" i="3" s="1"/>
  <c r="BA211" i="3"/>
  <c r="BL211" i="3"/>
  <c r="BA212" i="3"/>
  <c r="AZ212" i="3" s="1"/>
  <c r="BA213" i="3"/>
  <c r="AZ213" i="3" s="1"/>
  <c r="BA214" i="3"/>
  <c r="AZ214" i="3" s="1"/>
  <c r="BA215" i="3"/>
  <c r="AZ215" i="3" s="1"/>
  <c r="BA216" i="3"/>
  <c r="AZ216" i="3" s="1"/>
  <c r="BA217" i="3"/>
  <c r="AZ217" i="3" s="1"/>
  <c r="BA219" i="3"/>
  <c r="AZ219" i="3" s="1"/>
  <c r="BA220" i="3"/>
  <c r="BL220" i="3"/>
  <c r="BA221" i="3"/>
  <c r="AZ221" i="3" s="1"/>
  <c r="BA222" i="3"/>
  <c r="AZ222" i="3" s="1"/>
  <c r="BA225" i="3"/>
  <c r="BL225" i="3"/>
  <c r="G226" i="3"/>
  <c r="G227" i="3"/>
  <c r="BA228" i="3"/>
  <c r="AZ228" i="3" s="1"/>
  <c r="BA229" i="3"/>
  <c r="AZ229" i="3" s="1"/>
  <c r="BA231" i="3"/>
  <c r="AZ231" i="3" s="1"/>
  <c r="BA232" i="3"/>
  <c r="AZ232" i="3" s="1"/>
  <c r="BA233" i="3"/>
  <c r="AZ233" i="3" s="1"/>
  <c r="BA234" i="3"/>
  <c r="BL234" i="3"/>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58" i="3"/>
  <c r="AZ258" i="3" s="1"/>
  <c r="BA259" i="3"/>
  <c r="AZ259" i="3" s="1"/>
  <c r="BA260" i="3"/>
  <c r="AZ260"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292" i="3"/>
  <c r="AZ292" i="3" s="1"/>
  <c r="BA293" i="3"/>
  <c r="AZ293" i="3" s="1"/>
  <c r="BA294" i="3"/>
  <c r="AZ294" i="3" s="1"/>
  <c r="BA295" i="3"/>
  <c r="AZ295" i="3" s="1"/>
  <c r="BA296" i="3"/>
  <c r="AZ296" i="3" s="1"/>
  <c r="BA297" i="3"/>
  <c r="AZ297" i="3" s="1"/>
  <c r="BA298" i="3"/>
  <c r="AZ298" i="3" s="1"/>
  <c r="BA299" i="3"/>
  <c r="AZ299" i="3" s="1"/>
  <c r="BA300" i="3"/>
  <c r="AZ300" i="3" s="1"/>
  <c r="BA301" i="3"/>
  <c r="BL301" i="3"/>
  <c r="G302" i="3"/>
  <c r="G114" i="3"/>
  <c r="G115" i="3"/>
  <c r="G119" i="3"/>
  <c r="G122" i="3"/>
  <c r="BL122" i="3"/>
  <c r="G123" i="3"/>
  <c r="G124" i="3"/>
  <c r="BA125" i="3"/>
  <c r="AZ125" i="3" s="1"/>
  <c r="BL126" i="3"/>
  <c r="G127" i="3"/>
  <c r="G130" i="3"/>
  <c r="G131" i="3"/>
  <c r="G132" i="3"/>
  <c r="BA133" i="3"/>
  <c r="AZ133" i="3" s="1"/>
  <c r="BA134" i="3"/>
  <c r="AZ134" i="3" s="1"/>
  <c r="BL135" i="3"/>
  <c r="G136" i="3"/>
  <c r="BA137" i="3"/>
  <c r="AZ137" i="3" s="1"/>
  <c r="BA138" i="3"/>
  <c r="AZ138" i="3" s="1"/>
  <c r="BL139" i="3"/>
  <c r="AZ139" i="3" s="1"/>
  <c r="G140" i="3"/>
  <c r="F3" i="35"/>
  <c r="AA21" i="33"/>
  <c r="P51" i="71"/>
  <c r="D28" i="71"/>
  <c r="AA3" i="71"/>
  <c r="D65" i="71"/>
  <c r="D47" i="71"/>
  <c r="D15" i="71"/>
  <c r="B13" i="71"/>
  <c r="Y10" i="71"/>
  <c r="Z10" i="71" s="1"/>
  <c r="N53" i="71"/>
  <c r="E17" i="71"/>
  <c r="U17" i="71" s="1"/>
  <c r="F15" i="71"/>
  <c r="F16" i="71" s="1"/>
  <c r="F17" i="71" s="1"/>
  <c r="V17" i="71" s="1"/>
  <c r="Y17" i="71"/>
  <c r="Z17" i="71" s="1"/>
  <c r="AB17" i="71"/>
  <c r="C20" i="71"/>
  <c r="D19" i="71"/>
  <c r="AB15" i="71"/>
  <c r="AB18" i="71"/>
  <c r="Y20" i="71"/>
  <c r="Z20" i="71" s="1"/>
  <c r="AA18" i="71"/>
  <c r="AA17" i="71"/>
  <c r="AA20" i="71"/>
  <c r="F23" i="71"/>
  <c r="F24" i="71" s="1"/>
  <c r="F25" i="71" s="1"/>
  <c r="V25" i="71" s="1"/>
  <c r="AC12" i="43"/>
  <c r="AC10" i="43"/>
  <c r="AE12" i="43"/>
  <c r="AE10" i="43"/>
  <c r="AG12" i="43"/>
  <c r="AG10" i="43"/>
  <c r="AI12" i="43"/>
  <c r="AI10" i="43"/>
  <c r="M56" i="9"/>
  <c r="K56" i="9"/>
  <c r="X10" i="71"/>
  <c r="AA10" i="71"/>
  <c r="AA11" i="71"/>
  <c r="P61" i="67"/>
  <c r="P74" i="67"/>
  <c r="AA9" i="71"/>
  <c r="Y7" i="71"/>
  <c r="Z7" i="71" s="1"/>
  <c r="Y8" i="71"/>
  <c r="Z8" i="71" s="1"/>
  <c r="Y6" i="71"/>
  <c r="Z6" i="71" s="1"/>
  <c r="Y3" i="71"/>
  <c r="Z3" i="71" s="1"/>
  <c r="AB7" i="71"/>
  <c r="AB8" i="71"/>
  <c r="X7" i="71"/>
  <c r="BA140" i="3"/>
  <c r="AZ140" i="3" s="1"/>
  <c r="G142" i="3"/>
  <c r="G143" i="3"/>
  <c r="BA144" i="3"/>
  <c r="AZ144" i="3" s="1"/>
  <c r="G146" i="3"/>
  <c r="G147" i="3"/>
  <c r="BA148" i="3"/>
  <c r="AZ148" i="3" s="1"/>
  <c r="BA150" i="3"/>
  <c r="AZ150" i="3" s="1"/>
  <c r="BL153" i="3"/>
  <c r="G154" i="3"/>
  <c r="G158" i="3"/>
  <c r="BL159" i="3"/>
  <c r="BA161" i="3"/>
  <c r="AZ161" i="3" s="1"/>
  <c r="BA162" i="3"/>
  <c r="AZ162" i="3" s="1"/>
  <c r="BL163" i="3"/>
  <c r="BA165" i="3"/>
  <c r="BL165" i="3"/>
  <c r="BA166" i="3"/>
  <c r="AZ166" i="3" s="1"/>
  <c r="BL167" i="3"/>
  <c r="G168" i="3"/>
  <c r="BA169" i="3"/>
  <c r="BL169" i="3"/>
  <c r="G170" i="3"/>
  <c r="BL171" i="3"/>
  <c r="G172" i="3"/>
  <c r="BA173" i="3"/>
  <c r="AZ173" i="3" s="1"/>
  <c r="BL174" i="3"/>
  <c r="G175" i="3"/>
  <c r="BA176" i="3"/>
  <c r="BL178" i="3"/>
  <c r="G179" i="3"/>
  <c r="G183" i="3"/>
  <c r="BL186" i="3"/>
  <c r="G187" i="3"/>
  <c r="G190" i="3"/>
  <c r="G191" i="3"/>
  <c r="BA192" i="3"/>
  <c r="AZ192" i="3" s="1"/>
  <c r="BA194" i="3"/>
  <c r="AZ194" i="3" s="1"/>
  <c r="BL195" i="3"/>
  <c r="G196" i="3"/>
  <c r="BA197" i="3"/>
  <c r="AZ197" i="3" s="1"/>
  <c r="BA198" i="3"/>
  <c r="AZ198" i="3" s="1"/>
  <c r="BL199" i="3"/>
  <c r="AZ199" i="3" s="1"/>
  <c r="G200" i="3"/>
  <c r="BA201" i="3"/>
  <c r="BL201" i="3"/>
  <c r="G202" i="3"/>
  <c r="BL203" i="3"/>
  <c r="G204" i="3"/>
  <c r="BA205" i="3"/>
  <c r="BL205" i="3"/>
  <c r="BA207" i="3"/>
  <c r="AZ207" i="3" s="1"/>
  <c r="BA18" i="3"/>
  <c r="AZ18" i="3" s="1"/>
  <c r="G20" i="3"/>
  <c r="BA21" i="3"/>
  <c r="AZ21" i="3" s="1"/>
  <c r="BL22" i="3"/>
  <c r="G23" i="3"/>
  <c r="G24" i="3"/>
  <c r="BL25" i="3"/>
  <c r="G26" i="3"/>
  <c r="BA27" i="3"/>
  <c r="AZ27" i="3" s="1"/>
  <c r="BA28" i="3"/>
  <c r="AZ28" i="3" s="1"/>
  <c r="G30" i="3"/>
  <c r="BA31" i="3"/>
  <c r="AZ31" i="3" s="1"/>
  <c r="BL32" i="3"/>
  <c r="G33" i="3"/>
  <c r="G34" i="3"/>
  <c r="BA35" i="3"/>
  <c r="AZ35" i="3" s="1"/>
  <c r="BA36" i="3"/>
  <c r="AZ36" i="3" s="1"/>
  <c r="BL37" i="3"/>
  <c r="G38" i="3"/>
  <c r="BL38" i="3"/>
  <c r="G39" i="3"/>
  <c r="G41" i="3"/>
  <c r="G42" i="3"/>
  <c r="G43" i="3"/>
  <c r="G44" i="3"/>
  <c r="BL44" i="3"/>
  <c r="G45" i="3"/>
  <c r="G47" i="3"/>
  <c r="G48" i="3"/>
  <c r="G49" i="3"/>
  <c r="G50" i="3"/>
  <c r="G51" i="3"/>
  <c r="G52" i="3"/>
  <c r="BL53" i="3"/>
  <c r="G54" i="3"/>
  <c r="G55" i="3"/>
  <c r="G56" i="3"/>
  <c r="G58" i="3"/>
  <c r="G59" i="3"/>
  <c r="G60" i="3"/>
  <c r="G61" i="3"/>
  <c r="G62" i="3"/>
  <c r="G63" i="3"/>
  <c r="G65" i="3"/>
  <c r="BL65" i="3"/>
  <c r="G66" i="3"/>
  <c r="BL67" i="3"/>
  <c r="G68" i="3"/>
  <c r="G69" i="3"/>
  <c r="G70" i="3"/>
  <c r="BL71" i="3"/>
  <c r="G72" i="3"/>
  <c r="G74" i="3"/>
  <c r="G75" i="3"/>
  <c r="G76" i="3"/>
  <c r="BL76" i="3"/>
  <c r="G77" i="3"/>
  <c r="BA78" i="3"/>
  <c r="AZ78" i="3" s="1"/>
  <c r="BA79" i="3"/>
  <c r="AZ79" i="3" s="1"/>
  <c r="BA80" i="3"/>
  <c r="AZ80" i="3" s="1"/>
  <c r="BA81" i="3"/>
  <c r="BL81" i="3"/>
  <c r="G82" i="3"/>
  <c r="BA83" i="3"/>
  <c r="AZ83" i="3" s="1"/>
  <c r="BL84" i="3"/>
  <c r="G85" i="3"/>
  <c r="G87" i="3"/>
  <c r="G88" i="3"/>
  <c r="G89" i="3"/>
  <c r="G90" i="3"/>
  <c r="G92" i="3"/>
  <c r="G93" i="3"/>
  <c r="G95" i="3"/>
  <c r="G96" i="3"/>
  <c r="BL97" i="3"/>
  <c r="G98" i="3"/>
  <c r="G99" i="3"/>
  <c r="G101" i="3"/>
  <c r="G102" i="3"/>
  <c r="G103" i="3"/>
  <c r="BL103" i="3"/>
  <c r="G104" i="3"/>
  <c r="G105" i="3"/>
  <c r="G106" i="3"/>
  <c r="BA108" i="3"/>
  <c r="AZ108" i="3" s="1"/>
  <c r="BA109" i="3"/>
  <c r="AZ109" i="3" s="1"/>
  <c r="BA110" i="3"/>
  <c r="AZ110" i="3" s="1"/>
  <c r="BA111" i="3"/>
  <c r="AZ111" i="3" s="1"/>
  <c r="BA112" i="3"/>
  <c r="AZ112" i="3" s="1"/>
  <c r="G1" i="84"/>
  <c r="G1" i="83"/>
  <c r="G1" i="79"/>
  <c r="J51" i="15"/>
  <c r="E11" i="71"/>
  <c r="C11" i="71"/>
  <c r="D11" i="71" s="1"/>
  <c r="D12" i="71"/>
  <c r="AB10" i="71"/>
  <c r="AB12" i="71"/>
  <c r="T13" i="71"/>
  <c r="D13" i="71"/>
  <c r="U13" i="71" s="1"/>
  <c r="Y15" i="71"/>
  <c r="Z15" i="71" s="1"/>
  <c r="AB16" i="71"/>
  <c r="Y19" i="71"/>
  <c r="Z19" i="71" s="1"/>
  <c r="X18" i="71"/>
  <c r="X19" i="71"/>
  <c r="X20" i="71"/>
  <c r="AB20" i="71"/>
  <c r="Y23" i="71"/>
  <c r="Z23" i="71" s="1"/>
  <c r="AA24" i="71"/>
  <c r="AA22" i="71"/>
  <c r="L1" i="73"/>
  <c r="J1" i="73"/>
  <c r="AB9" i="71"/>
  <c r="Z12" i="43"/>
  <c r="Z10" i="43"/>
  <c r="AD12" i="43"/>
  <c r="AD10" i="43"/>
  <c r="AH12" i="43"/>
  <c r="AH10" i="43"/>
  <c r="F8" i="71"/>
  <c r="F7" i="71" s="1"/>
  <c r="C9" i="71"/>
  <c r="Y9" i="71"/>
  <c r="Z9" i="71" s="1"/>
  <c r="AA8" i="71"/>
  <c r="X6" i="71"/>
  <c r="X5" i="71"/>
  <c r="AA5" i="71"/>
  <c r="A24" i="51"/>
  <c r="B18" i="72" s="1"/>
  <c r="K4" i="4"/>
  <c r="B46" i="48" s="1"/>
  <c r="B4" i="72" s="1"/>
  <c r="AB39" i="39"/>
  <c r="AA41" i="39"/>
  <c r="AA32" i="39"/>
  <c r="AC32" i="39"/>
  <c r="U31" i="39"/>
  <c r="S31" i="39"/>
  <c r="W29" i="39"/>
  <c r="U29" i="39"/>
  <c r="S29" i="39"/>
  <c r="AB27" i="39"/>
  <c r="W27" i="39"/>
  <c r="U25" i="39"/>
  <c r="AB23" i="39"/>
  <c r="S21" i="39"/>
  <c r="U21" i="39"/>
  <c r="F19" i="39"/>
  <c r="AA19" i="39" s="1"/>
  <c r="F93" i="39"/>
  <c r="G93" i="39" s="1"/>
  <c r="H19" i="39"/>
  <c r="AB19" i="39" s="1"/>
  <c r="J19" i="39"/>
  <c r="AC19" i="39" s="1"/>
  <c r="H17" i="39"/>
  <c r="F17" i="39"/>
  <c r="AA17" i="39" s="1"/>
  <c r="J17" i="39"/>
  <c r="W19" i="39"/>
  <c r="S19" i="39"/>
  <c r="S17" i="39"/>
  <c r="F81" i="39"/>
  <c r="B4" i="62"/>
  <c r="B71" i="72" s="1"/>
  <c r="D5" i="43"/>
  <c r="C5" i="43"/>
  <c r="P61" i="15"/>
  <c r="D22" i="67"/>
  <c r="F29" i="6"/>
  <c r="AZ412" i="3"/>
  <c r="AZ209" i="3"/>
  <c r="AZ218" i="3"/>
  <c r="AZ224" i="3"/>
  <c r="AZ235" i="3"/>
  <c r="AZ135" i="3"/>
  <c r="AZ203" i="3"/>
  <c r="AZ206" i="3"/>
  <c r="AZ53" i="3"/>
  <c r="AZ67" i="3"/>
  <c r="AZ71" i="3"/>
  <c r="AZ97" i="3"/>
  <c r="AZ107" i="3"/>
  <c r="AZ234" i="3"/>
  <c r="AZ117" i="3"/>
  <c r="AZ119" i="3"/>
  <c r="AZ39" i="3"/>
  <c r="AZ45" i="3"/>
  <c r="AZ63" i="3"/>
  <c r="AZ66" i="3"/>
  <c r="AZ72" i="3"/>
  <c r="AZ85" i="3"/>
  <c r="AZ93" i="3"/>
  <c r="C94" i="9"/>
  <c r="C92" i="9"/>
  <c r="F54" i="9"/>
  <c r="F28" i="15"/>
  <c r="C28" i="15" s="1"/>
  <c r="M18" i="67"/>
  <c r="D68" i="9"/>
  <c r="M18" i="15"/>
  <c r="F32" i="15"/>
  <c r="F60" i="15" s="1"/>
  <c r="F30" i="69"/>
  <c r="F32" i="67"/>
  <c r="F60" i="67" s="1"/>
  <c r="F31" i="12"/>
  <c r="C31" i="12" s="1"/>
  <c r="F28" i="67"/>
  <c r="C28" i="67" s="1"/>
  <c r="F30" i="11"/>
  <c r="F30" i="68"/>
  <c r="C40" i="68"/>
  <c r="C40" i="69"/>
  <c r="C36" i="69"/>
  <c r="AR8" i="1"/>
  <c r="AZ329" i="3"/>
  <c r="I4" i="6"/>
  <c r="G3" i="43" s="1"/>
  <c r="H22" i="43" s="1"/>
  <c r="E19" i="6"/>
  <c r="K6" i="1" s="1"/>
  <c r="G16" i="1" s="1"/>
  <c r="J10" i="39" s="1"/>
  <c r="AZ347" i="3"/>
  <c r="AZ321" i="3"/>
  <c r="AZ345" i="3"/>
  <c r="AZ325" i="3"/>
  <c r="AZ311" i="3"/>
  <c r="BA398" i="3"/>
  <c r="AZ398" i="3" s="1"/>
  <c r="BA400" i="3"/>
  <c r="AZ400" i="3" s="1"/>
  <c r="BA401" i="3"/>
  <c r="AZ401" i="3" s="1"/>
  <c r="BA402" i="3"/>
  <c r="AZ402" i="3" s="1"/>
  <c r="BA405" i="3"/>
  <c r="AZ405" i="3" s="1"/>
  <c r="BA406" i="3"/>
  <c r="AZ406" i="3" s="1"/>
  <c r="BA413" i="3"/>
  <c r="AZ413" i="3" s="1"/>
  <c r="BA415" i="3"/>
  <c r="AZ415" i="3" s="1"/>
  <c r="BA420" i="3"/>
  <c r="AZ420" i="3" s="1"/>
  <c r="AZ432" i="3"/>
  <c r="AZ434" i="3"/>
  <c r="AZ343" i="3"/>
  <c r="AZ327" i="3"/>
  <c r="AZ403" i="3"/>
  <c r="AZ409" i="3"/>
  <c r="AZ411" i="3"/>
  <c r="BA424" i="3"/>
  <c r="AZ424" i="3" s="1"/>
  <c r="BA435" i="3"/>
  <c r="AZ435" i="3" s="1"/>
  <c r="BA439" i="3"/>
  <c r="AZ439" i="3" s="1"/>
  <c r="BA444" i="3"/>
  <c r="AZ444" i="3" s="1"/>
  <c r="BL449" i="3"/>
  <c r="BL450" i="3"/>
  <c r="BA452" i="3"/>
  <c r="AZ452" i="3" s="1"/>
  <c r="BA471" i="3"/>
  <c r="AZ471" i="3" s="1"/>
  <c r="BA474" i="3"/>
  <c r="AZ474" i="3" s="1"/>
  <c r="BA476" i="3"/>
  <c r="AZ476" i="3" s="1"/>
  <c r="BA477" i="3"/>
  <c r="AZ477" i="3" s="1"/>
  <c r="BA482" i="3"/>
  <c r="AZ482" i="3" s="1"/>
  <c r="BA484" i="3"/>
  <c r="AZ484" i="3" s="1"/>
  <c r="BA303" i="3"/>
  <c r="AZ303" i="3" s="1"/>
  <c r="BA307" i="3"/>
  <c r="AZ307" i="3" s="1"/>
  <c r="BA316" i="3"/>
  <c r="AZ316" i="3" s="1"/>
  <c r="BA317" i="3"/>
  <c r="AZ317" i="3" s="1"/>
  <c r="BA331" i="3"/>
  <c r="AZ331" i="3" s="1"/>
  <c r="BA335" i="3"/>
  <c r="AZ335" i="3" s="1"/>
  <c r="BA339" i="3"/>
  <c r="AZ339" i="3" s="1"/>
  <c r="BA350" i="3"/>
  <c r="AZ350" i="3" s="1"/>
  <c r="BA353" i="3"/>
  <c r="AZ353" i="3" s="1"/>
  <c r="BA354" i="3"/>
  <c r="AZ354" i="3" s="1"/>
  <c r="BA366" i="3"/>
  <c r="AZ366" i="3" s="1"/>
  <c r="BA370" i="3"/>
  <c r="AZ370" i="3" s="1"/>
  <c r="BA374" i="3"/>
  <c r="AZ374" i="3" s="1"/>
  <c r="BA388" i="3"/>
  <c r="AZ388" i="3" s="1"/>
  <c r="BA392" i="3"/>
  <c r="AZ392" i="3" s="1"/>
  <c r="AZ447" i="3"/>
  <c r="AZ455" i="3"/>
  <c r="AZ460" i="3"/>
  <c r="AZ463" i="3"/>
  <c r="AZ466" i="3"/>
  <c r="AZ468" i="3"/>
  <c r="AZ469" i="3"/>
  <c r="AZ479" i="3"/>
  <c r="AZ319" i="3"/>
  <c r="AZ323" i="3"/>
  <c r="AZ352" i="3"/>
  <c r="AZ358" i="3"/>
  <c r="AZ301" i="3"/>
  <c r="AZ230" i="3"/>
  <c r="AZ208" i="3"/>
  <c r="AZ211" i="3"/>
  <c r="AZ220" i="3"/>
  <c r="AZ225" i="3"/>
  <c r="AZ201" i="3"/>
  <c r="BA202" i="3"/>
  <c r="AZ202" i="3" s="1"/>
  <c r="AZ205" i="3"/>
  <c r="AZ195" i="3"/>
  <c r="BL183" i="3"/>
  <c r="BA185" i="3"/>
  <c r="AZ185" i="3" s="1"/>
  <c r="BA196" i="3"/>
  <c r="AZ196" i="3" s="1"/>
  <c r="AZ165" i="3"/>
  <c r="AZ163" i="3"/>
  <c r="L27" i="6"/>
  <c r="F30" i="6"/>
  <c r="AZ179" i="3"/>
  <c r="AZ176" i="3"/>
  <c r="AZ171" i="3"/>
  <c r="BL448" i="3"/>
  <c r="AZ448" i="3" s="1"/>
  <c r="BA168" i="3"/>
  <c r="AZ168" i="3" s="1"/>
  <c r="BL175" i="3"/>
  <c r="AZ175" i="3" s="1"/>
  <c r="BA177" i="3"/>
  <c r="AZ177" i="3" s="1"/>
  <c r="BA178" i="3"/>
  <c r="AZ178" i="3" s="1"/>
  <c r="BL182" i="3"/>
  <c r="AZ182" i="3" s="1"/>
  <c r="BA184" i="3"/>
  <c r="AZ184" i="3" s="1"/>
  <c r="BA186" i="3"/>
  <c r="AZ186" i="3" s="1"/>
  <c r="AZ183" i="3"/>
  <c r="AZ167" i="3"/>
  <c r="BA450" i="3"/>
  <c r="BA188" i="3"/>
  <c r="AZ188" i="3" s="1"/>
  <c r="AZ191" i="3"/>
  <c r="BA449" i="3"/>
  <c r="AZ449" i="3" s="1"/>
  <c r="BA172" i="3"/>
  <c r="AZ172" i="3" s="1"/>
  <c r="BA174" i="3"/>
  <c r="AZ174" i="3" s="1"/>
  <c r="AZ153" i="3"/>
  <c r="BA156" i="3"/>
  <c r="AZ156" i="3" s="1"/>
  <c r="AZ159" i="3"/>
  <c r="AZ143" i="3"/>
  <c r="BA152" i="3"/>
  <c r="AZ152" i="3" s="1"/>
  <c r="BA158" i="3"/>
  <c r="AZ158" i="3" s="1"/>
  <c r="E28" i="6"/>
  <c r="K14" i="1" s="1"/>
  <c r="M14" i="1" s="1"/>
  <c r="O14" i="1" s="1"/>
  <c r="P14" i="1" s="1"/>
  <c r="G29" i="6"/>
  <c r="E29" i="6" s="1"/>
  <c r="K15" i="1" s="1"/>
  <c r="AZ122" i="3"/>
  <c r="AZ127" i="3"/>
  <c r="BA126" i="3"/>
  <c r="AZ126" i="3" s="1"/>
  <c r="AZ115" i="3"/>
  <c r="BA116" i="3"/>
  <c r="AZ116" i="3" s="1"/>
  <c r="AZ103" i="3"/>
  <c r="BA84" i="3"/>
  <c r="AZ84" i="3" s="1"/>
  <c r="AZ90" i="3"/>
  <c r="AZ96" i="3"/>
  <c r="AZ99" i="3"/>
  <c r="AZ81" i="3"/>
  <c r="AZ56" i="3"/>
  <c r="AZ65" i="3"/>
  <c r="AZ70" i="3"/>
  <c r="AZ76" i="3"/>
  <c r="AZ38" i="3"/>
  <c r="AZ44" i="3"/>
  <c r="AZ52" i="3"/>
  <c r="AZ15" i="3"/>
  <c r="BA22" i="3"/>
  <c r="AZ22" i="3" s="1"/>
  <c r="BA25" i="3"/>
  <c r="AZ25" i="3" s="1"/>
  <c r="BA26" i="3"/>
  <c r="AZ26" i="3" s="1"/>
  <c r="BA30" i="3"/>
  <c r="AZ30" i="3" s="1"/>
  <c r="BA32" i="3"/>
  <c r="AZ32" i="3" s="1"/>
  <c r="BA37" i="3"/>
  <c r="AZ37" i="3" s="1"/>
  <c r="AZ356" i="3"/>
  <c r="M7" i="1"/>
  <c r="AR9" i="1"/>
  <c r="AQ9" i="1"/>
  <c r="AQ11" i="1"/>
  <c r="T11" i="1"/>
  <c r="AR13" i="1"/>
  <c r="T13" i="1"/>
  <c r="AQ10" i="1"/>
  <c r="T10" i="1"/>
  <c r="AR12" i="1"/>
  <c r="T12" i="1"/>
  <c r="T9" i="1"/>
  <c r="AR11" i="1"/>
  <c r="AQ13" i="1"/>
  <c r="AR10" i="1"/>
  <c r="E11" i="6"/>
  <c r="E61" i="39" s="1"/>
  <c r="AZ315" i="3"/>
  <c r="G5" i="3"/>
  <c r="B3" i="3" s="1"/>
  <c r="E157" i="3" s="1"/>
  <c r="C36" i="11"/>
  <c r="E13" i="6"/>
  <c r="E15" i="6"/>
  <c r="E12" i="6"/>
  <c r="P11" i="1"/>
  <c r="D19" i="12"/>
  <c r="C19" i="12" s="1"/>
  <c r="O12" i="1"/>
  <c r="P12" i="1" s="1"/>
  <c r="B113" i="43"/>
  <c r="C101" i="43"/>
  <c r="N104" i="46"/>
  <c r="H101" i="43"/>
  <c r="F22" i="43"/>
  <c r="F101" i="43"/>
  <c r="E22" i="43"/>
  <c r="O8" i="1"/>
  <c r="P8" i="1" s="1"/>
  <c r="O9" i="1"/>
  <c r="P9" i="1" s="1"/>
  <c r="D12" i="52"/>
  <c r="D127" i="9"/>
  <c r="D13" i="52" s="1"/>
  <c r="G52" i="33"/>
  <c r="H52" i="33" s="1"/>
  <c r="E48" i="33"/>
  <c r="R49" i="33"/>
  <c r="U7" i="33"/>
  <c r="AC7" i="33"/>
  <c r="V48" i="33" s="1"/>
  <c r="I48" i="33" s="1"/>
  <c r="G48" i="35"/>
  <c r="G58" i="21"/>
  <c r="F52" i="37"/>
  <c r="E46" i="36"/>
  <c r="F59" i="34"/>
  <c r="C70" i="39"/>
  <c r="D68" i="39"/>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10" i="70"/>
  <c r="F66" i="67"/>
  <c r="L59" i="67"/>
  <c r="M59" i="67"/>
  <c r="N59" i="67"/>
  <c r="F68" i="15"/>
  <c r="N59" i="15"/>
  <c r="L59" i="15"/>
  <c r="M59" i="15"/>
  <c r="F65" i="15"/>
  <c r="B13" i="70"/>
  <c r="B8" i="70"/>
  <c r="B20" i="31"/>
  <c r="F65" i="67"/>
  <c r="F51" i="67"/>
  <c r="B11" i="70"/>
  <c r="F64" i="15"/>
  <c r="B12" i="70"/>
  <c r="B9" i="70"/>
  <c r="F59" i="15"/>
  <c r="M17" i="15"/>
  <c r="F59" i="67"/>
  <c r="F31" i="15"/>
  <c r="M17" i="67"/>
  <c r="F31" i="67"/>
  <c r="C36" i="68"/>
  <c r="M29" i="67"/>
  <c r="M9" i="15"/>
  <c r="M26" i="67"/>
  <c r="L48" i="67"/>
  <c r="F36" i="67"/>
  <c r="F7" i="67"/>
  <c r="M29" i="15"/>
  <c r="F9" i="15"/>
  <c r="F8" i="15"/>
  <c r="F40" i="67"/>
  <c r="M26" i="15"/>
  <c r="F26" i="15"/>
  <c r="M22" i="67"/>
  <c r="L48" i="15"/>
  <c r="M9" i="67"/>
  <c r="D9" i="68"/>
  <c r="F43" i="15"/>
  <c r="J15" i="15"/>
  <c r="F26" i="67"/>
  <c r="M27" i="67"/>
  <c r="M8" i="67"/>
  <c r="F6" i="67"/>
  <c r="F43" i="67"/>
  <c r="F38" i="15"/>
  <c r="M27" i="15"/>
  <c r="F7" i="15"/>
  <c r="C76" i="15"/>
  <c r="C76" i="67"/>
  <c r="M23" i="67"/>
  <c r="F42" i="67"/>
  <c r="F16" i="67"/>
  <c r="M22" i="15"/>
  <c r="F42" i="15"/>
  <c r="N101" i="43" l="1"/>
  <c r="K101" i="43"/>
  <c r="G22" i="43"/>
  <c r="L101" i="43"/>
  <c r="J101" i="43"/>
  <c r="G101" i="43"/>
  <c r="E97" i="3"/>
  <c r="O6" i="3"/>
  <c r="E565" i="3"/>
  <c r="E306" i="3"/>
  <c r="E511" i="3"/>
  <c r="E336" i="3"/>
  <c r="E359" i="3"/>
  <c r="E17" i="3"/>
  <c r="E237" i="3"/>
  <c r="AK6" i="3"/>
  <c r="E293" i="3"/>
  <c r="E583" i="3"/>
  <c r="E426" i="3"/>
  <c r="E501" i="3"/>
  <c r="E262" i="3"/>
  <c r="E89" i="3"/>
  <c r="E285" i="3"/>
  <c r="E574" i="3"/>
  <c r="E302" i="3"/>
  <c r="E213" i="3"/>
  <c r="E304" i="3"/>
  <c r="E296" i="3"/>
  <c r="E434" i="3"/>
  <c r="E16" i="3"/>
  <c r="E314" i="3"/>
  <c r="E246" i="3"/>
  <c r="X6" i="3"/>
  <c r="E328" i="3"/>
  <c r="E153" i="3"/>
  <c r="E53" i="3"/>
  <c r="E538" i="3"/>
  <c r="E236" i="3"/>
  <c r="BL5" i="3"/>
  <c r="AZ433" i="3"/>
  <c r="F66" i="15"/>
  <c r="F51" i="15"/>
  <c r="Q71" i="15"/>
  <c r="C27" i="67"/>
  <c r="L58" i="67"/>
  <c r="Q60" i="67" s="1"/>
  <c r="J57" i="67"/>
  <c r="J55" i="67" s="1"/>
  <c r="J58" i="67" s="1"/>
  <c r="Q50" i="67" s="1"/>
  <c r="L56" i="67"/>
  <c r="I54" i="67"/>
  <c r="J57" i="15"/>
  <c r="J55" i="15" s="1"/>
  <c r="J58" i="15" s="1"/>
  <c r="Q50" i="15" s="1"/>
  <c r="L56" i="15"/>
  <c r="J53" i="15"/>
  <c r="Q52" i="15" s="1"/>
  <c r="I54" i="15"/>
  <c r="L58" i="15"/>
  <c r="Q73" i="15" s="1"/>
  <c r="C27" i="15"/>
  <c r="Q71" i="67"/>
  <c r="F68" i="67"/>
  <c r="F70" i="67"/>
  <c r="F64" i="67"/>
  <c r="E143" i="3"/>
  <c r="E337" i="3"/>
  <c r="E410" i="3"/>
  <c r="E555" i="3"/>
  <c r="E388" i="3"/>
  <c r="E503" i="3"/>
  <c r="E361" i="3"/>
  <c r="E183" i="3"/>
  <c r="E528" i="3"/>
  <c r="E261" i="3"/>
  <c r="E244" i="3"/>
  <c r="E368" i="3"/>
  <c r="E453" i="3"/>
  <c r="E549" i="3"/>
  <c r="E536" i="3"/>
  <c r="I6" i="3"/>
  <c r="E568" i="3"/>
  <c r="E397" i="3"/>
  <c r="E124" i="3"/>
  <c r="E280" i="3"/>
  <c r="E399" i="3"/>
  <c r="AA6" i="3"/>
  <c r="E347" i="3"/>
  <c r="E508" i="3"/>
  <c r="E305" i="3"/>
  <c r="E343" i="3"/>
  <c r="E319" i="3"/>
  <c r="AR6" i="3"/>
  <c r="E380" i="3"/>
  <c r="E136" i="3"/>
  <c r="E269" i="3"/>
  <c r="C8" i="71"/>
  <c r="T9" i="71"/>
  <c r="D9" i="71"/>
  <c r="U9" i="71" s="1"/>
  <c r="AZ169" i="3"/>
  <c r="C21" i="71"/>
  <c r="D20" i="71"/>
  <c r="AZ368" i="3"/>
  <c r="AZ428" i="3"/>
  <c r="AZ422" i="3"/>
  <c r="C55" i="71"/>
  <c r="D55" i="71" s="1"/>
  <c r="D56" i="71"/>
  <c r="N52" i="71"/>
  <c r="B51" i="71"/>
  <c r="D49" i="71"/>
  <c r="T49" i="71"/>
  <c r="C25" i="71"/>
  <c r="D24" i="71"/>
  <c r="AB38" i="40"/>
  <c r="U38" i="40"/>
  <c r="S38" i="40"/>
  <c r="AA38" i="40"/>
  <c r="U24" i="36"/>
  <c r="AB24" i="36"/>
  <c r="W23" i="35"/>
  <c r="AC23" i="35"/>
  <c r="U12" i="21"/>
  <c r="AB12" i="21"/>
  <c r="S12" i="36"/>
  <c r="AA12" i="36"/>
  <c r="S44" i="21"/>
  <c r="AA44" i="21"/>
  <c r="S46" i="21"/>
  <c r="AA46" i="21"/>
  <c r="U27" i="21"/>
  <c r="AB27" i="21"/>
  <c r="AB29" i="21"/>
  <c r="U29" i="21"/>
  <c r="U29" i="34"/>
  <c r="AB29" i="34"/>
  <c r="AA31" i="34"/>
  <c r="S31" i="34"/>
  <c r="AA45" i="34"/>
  <c r="S45" i="34"/>
  <c r="W47" i="34"/>
  <c r="AC47" i="34"/>
  <c r="AB13" i="35"/>
  <c r="U13" i="35"/>
  <c r="U25" i="35"/>
  <c r="AB25" i="35"/>
  <c r="U35" i="35"/>
  <c r="AB35" i="35"/>
  <c r="W13" i="37"/>
  <c r="AC13" i="37"/>
  <c r="C30" i="84"/>
  <c r="C48" i="84"/>
  <c r="AB27" i="33"/>
  <c r="U27" i="33"/>
  <c r="U32" i="39"/>
  <c r="AB32" i="39"/>
  <c r="U39" i="40"/>
  <c r="AB39" i="40"/>
  <c r="G63" i="40"/>
  <c r="F65" i="40"/>
  <c r="B12" i="71"/>
  <c r="B11" i="71" s="1"/>
  <c r="S13" i="71"/>
  <c r="B8" i="71"/>
  <c r="B7" i="71" s="1"/>
  <c r="B6" i="71" s="1"/>
  <c r="B5" i="71" s="1"/>
  <c r="S9" i="71"/>
  <c r="D64" i="71"/>
  <c r="C63" i="71"/>
  <c r="D63" i="71" s="1"/>
  <c r="C45" i="71"/>
  <c r="D44" i="71"/>
  <c r="C37" i="71"/>
  <c r="D36" i="71"/>
  <c r="D17" i="71"/>
  <c r="T17" i="71"/>
  <c r="AC38" i="40"/>
  <c r="W38" i="40"/>
  <c r="AA26" i="37"/>
  <c r="S26" i="37"/>
  <c r="U12" i="36"/>
  <c r="AB12" i="36"/>
  <c r="W12" i="21"/>
  <c r="AC12" i="21"/>
  <c r="S26" i="33"/>
  <c r="AA26" i="33"/>
  <c r="AA27" i="34"/>
  <c r="S27" i="34"/>
  <c r="AB44" i="21"/>
  <c r="U44" i="21"/>
  <c r="W46" i="21"/>
  <c r="AC46" i="21"/>
  <c r="W13" i="21"/>
  <c r="AC13" i="21"/>
  <c r="AA27" i="21"/>
  <c r="S27" i="21"/>
  <c r="AA30" i="33"/>
  <c r="S30" i="33"/>
  <c r="U31" i="34"/>
  <c r="AB31" i="34"/>
  <c r="AC45" i="34"/>
  <c r="W45" i="34"/>
  <c r="AA47" i="34"/>
  <c r="S47" i="34"/>
  <c r="W13" i="35"/>
  <c r="AC13" i="35"/>
  <c r="S25" i="35"/>
  <c r="AA25" i="35"/>
  <c r="S35" i="35"/>
  <c r="AA35" i="35"/>
  <c r="S13" i="37"/>
  <c r="AA13" i="37"/>
  <c r="E8" i="6"/>
  <c r="E14" i="6"/>
  <c r="E10" i="6"/>
  <c r="AA12" i="33"/>
  <c r="S12" i="33"/>
  <c r="C48" i="83"/>
  <c r="C30" i="83"/>
  <c r="U9" i="35"/>
  <c r="AB9" i="35"/>
  <c r="W27" i="33"/>
  <c r="AC27" i="33"/>
  <c r="AC39" i="40"/>
  <c r="W39" i="40"/>
  <c r="H14" i="74"/>
  <c r="B7" i="74" s="1"/>
  <c r="D10" i="52"/>
  <c r="D125" i="9"/>
  <c r="D11" i="52" s="1"/>
  <c r="D17" i="53"/>
  <c r="B36" i="72" s="1"/>
  <c r="B34" i="72"/>
  <c r="O7" i="1"/>
  <c r="C9" i="68"/>
  <c r="I101" i="43"/>
  <c r="I102" i="43" s="1"/>
  <c r="D22" i="43"/>
  <c r="AE11" i="43"/>
  <c r="AE13" i="43" s="1"/>
  <c r="U19" i="39"/>
  <c r="W17" i="39"/>
  <c r="AC17" i="39"/>
  <c r="AB17" i="39"/>
  <c r="U17" i="39"/>
  <c r="G81" i="39"/>
  <c r="H81" i="39" s="1"/>
  <c r="I81" i="39" s="1"/>
  <c r="J81" i="39" s="1"/>
  <c r="K81" i="39" s="1"/>
  <c r="L81" i="39" s="1"/>
  <c r="M81" i="39" s="1"/>
  <c r="Z7" i="43"/>
  <c r="D101" i="43"/>
  <c r="D109" i="43" s="1"/>
  <c r="AH11" i="43"/>
  <c r="AH13" i="43" s="1"/>
  <c r="E530" i="3"/>
  <c r="E175" i="3"/>
  <c r="E533" i="3"/>
  <c r="E561" i="3"/>
  <c r="E439" i="3"/>
  <c r="E231" i="3"/>
  <c r="E196" i="3"/>
  <c r="E156" i="3"/>
  <c r="E148" i="3"/>
  <c r="E122" i="3"/>
  <c r="E151" i="3"/>
  <c r="E201" i="3"/>
  <c r="E229" i="3"/>
  <c r="E247" i="3"/>
  <c r="E396" i="3"/>
  <c r="E431" i="3"/>
  <c r="E569" i="3"/>
  <c r="E579" i="3"/>
  <c r="E516" i="3"/>
  <c r="E509" i="3"/>
  <c r="E239" i="3"/>
  <c r="E535" i="3"/>
  <c r="E550" i="3"/>
  <c r="E445" i="3"/>
  <c r="E260" i="3"/>
  <c r="E172" i="3"/>
  <c r="E395" i="3"/>
  <c r="E563" i="3"/>
  <c r="E415" i="3"/>
  <c r="E278" i="3"/>
  <c r="E114" i="3"/>
  <c r="E69"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90" i="3"/>
  <c r="S6" i="3"/>
  <c r="E523" i="3"/>
  <c r="E506" i="3"/>
  <c r="E418" i="3"/>
  <c r="E338" i="3"/>
  <c r="E321" i="3"/>
  <c r="E301" i="3"/>
  <c r="E245" i="3"/>
  <c r="E159" i="3"/>
  <c r="E191" i="3"/>
  <c r="E99" i="3"/>
  <c r="E188" i="3"/>
  <c r="E228" i="3"/>
  <c r="E181" i="3"/>
  <c r="BA5" i="3"/>
  <c r="F50" i="15"/>
  <c r="M7" i="15"/>
  <c r="J6" i="15" s="1"/>
  <c r="C6" i="15"/>
  <c r="F71" i="15"/>
  <c r="M7" i="67"/>
  <c r="J6" i="67" s="1"/>
  <c r="F50" i="67"/>
  <c r="C49" i="67" s="1"/>
  <c r="C6" i="67"/>
  <c r="F71" i="67"/>
  <c r="M6" i="1"/>
  <c r="M16" i="1" s="1"/>
  <c r="C30" i="68"/>
  <c r="C48" i="68"/>
  <c r="C48" i="11"/>
  <c r="C30" i="11"/>
  <c r="C48" i="69"/>
  <c r="C30" i="69"/>
  <c r="P7" i="1"/>
  <c r="H16" i="1"/>
  <c r="Q16" i="1"/>
  <c r="F27" i="11" s="1"/>
  <c r="AC11" i="43"/>
  <c r="AC13" i="43" s="1"/>
  <c r="AF11" i="43"/>
  <c r="AF13" i="43" s="1"/>
  <c r="Z11" i="43"/>
  <c r="Z13" i="43" s="1"/>
  <c r="M101" i="43"/>
  <c r="M107" i="43" s="1"/>
  <c r="Y11" i="43"/>
  <c r="Y13" i="43" s="1"/>
  <c r="AG11" i="43"/>
  <c r="AG13" i="43" s="1"/>
  <c r="AB11" i="43"/>
  <c r="AB13" i="43" s="1"/>
  <c r="AJ11" i="43"/>
  <c r="AJ13" i="43" s="1"/>
  <c r="J22" i="43"/>
  <c r="AA11" i="43"/>
  <c r="AA13" i="43" s="1"/>
  <c r="AI11" i="43"/>
  <c r="AI13" i="43" s="1"/>
  <c r="AD11" i="43"/>
  <c r="AD13" i="43" s="1"/>
  <c r="E101" i="43"/>
  <c r="E107" i="43" s="1"/>
  <c r="AZ450" i="3"/>
  <c r="AZ5" i="3" s="1"/>
  <c r="G30" i="6"/>
  <c r="G31" i="6" s="1"/>
  <c r="C34" i="69"/>
  <c r="K16" i="1"/>
  <c r="E30" i="6"/>
  <c r="E56" i="40"/>
  <c r="I109" i="43"/>
  <c r="D103" i="43"/>
  <c r="E270" i="3"/>
  <c r="E358" i="3"/>
  <c r="E559" i="3"/>
  <c r="E551" i="3"/>
  <c r="V6" i="3"/>
  <c r="E407" i="3"/>
  <c r="E320" i="3"/>
  <c r="E294" i="3"/>
  <c r="E298" i="3"/>
  <c r="E216" i="3"/>
  <c r="E169" i="3"/>
  <c r="E185" i="3"/>
  <c r="E61" i="3"/>
  <c r="E135" i="3"/>
  <c r="E290" i="3"/>
  <c r="E161" i="3"/>
  <c r="E117" i="3"/>
  <c r="E514" i="3"/>
  <c r="E570" i="3"/>
  <c r="M6" i="3"/>
  <c r="AB6" i="3"/>
  <c r="E387" i="3"/>
  <c r="E335" i="3"/>
  <c r="E215" i="3"/>
  <c r="E230" i="3"/>
  <c r="E189" i="3"/>
  <c r="E130" i="3"/>
  <c r="E134" i="3"/>
  <c r="E254" i="3"/>
  <c r="E91" i="3"/>
  <c r="E221" i="3"/>
  <c r="E180" i="3"/>
  <c r="E149" i="3"/>
  <c r="E207" i="3"/>
  <c r="E77" i="3"/>
  <c r="E252" i="3"/>
  <c r="E212" i="3"/>
  <c r="E271" i="3"/>
  <c r="E253" i="3"/>
  <c r="E204" i="3"/>
  <c r="E167" i="3"/>
  <c r="E145" i="3"/>
  <c r="E199" i="3"/>
  <c r="E164" i="3"/>
  <c r="E141" i="3"/>
  <c r="E107"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76" i="3"/>
  <c r="E110" i="3"/>
  <c r="E59" i="3"/>
  <c r="E540" i="3"/>
  <c r="E462" i="3"/>
  <c r="E521" i="3"/>
  <c r="E446" i="3"/>
  <c r="E47" i="3"/>
  <c r="E98" i="3"/>
  <c r="E65" i="3"/>
  <c r="E138" i="3"/>
  <c r="E195" i="3"/>
  <c r="E163" i="3"/>
  <c r="E248"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9" i="3"/>
  <c r="E29" i="3"/>
  <c r="E480" i="3"/>
  <c r="E441"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11" i="3"/>
  <c r="E327" i="3"/>
  <c r="E60" i="40"/>
  <c r="E65" i="39"/>
  <c r="E58" i="40"/>
  <c r="E63" i="39"/>
  <c r="E57" i="40"/>
  <c r="E62" i="39"/>
  <c r="F10" i="40"/>
  <c r="S10" i="40" s="1"/>
  <c r="AC6" i="3"/>
  <c r="C107" i="43"/>
  <c r="C103" i="43"/>
  <c r="C104" i="43"/>
  <c r="C106" i="43"/>
  <c r="C109"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H102" i="43"/>
  <c r="H103" i="43"/>
  <c r="H104" i="43"/>
  <c r="H109" i="43"/>
  <c r="H107" i="43"/>
  <c r="H106" i="43"/>
  <c r="H105" i="43"/>
  <c r="F104" i="43"/>
  <c r="F102" i="43"/>
  <c r="F105" i="43"/>
  <c r="F109" i="43"/>
  <c r="F106" i="43"/>
  <c r="F103" i="43"/>
  <c r="F107" i="43"/>
  <c r="L106" i="43"/>
  <c r="L107" i="43"/>
  <c r="L103" i="43"/>
  <c r="L109" i="43"/>
  <c r="L102" i="43"/>
  <c r="L105" i="43"/>
  <c r="L104" i="43"/>
  <c r="J107" i="43"/>
  <c r="J102" i="43"/>
  <c r="J109" i="43"/>
  <c r="J104" i="43"/>
  <c r="J105" i="43"/>
  <c r="J103" i="43"/>
  <c r="J106" i="43"/>
  <c r="G107" i="43"/>
  <c r="G104" i="43"/>
  <c r="G106" i="43"/>
  <c r="G105" i="43"/>
  <c r="G103" i="43"/>
  <c r="G109" i="43"/>
  <c r="G102" i="43"/>
  <c r="J10" i="40"/>
  <c r="H10" i="40"/>
  <c r="F10" i="39"/>
  <c r="H10" i="39"/>
  <c r="G59" i="34"/>
  <c r="H58" i="21"/>
  <c r="I52" i="33"/>
  <c r="J52" i="33" s="1"/>
  <c r="I53" i="33"/>
  <c r="J53" i="33" s="1"/>
  <c r="C49" i="33"/>
  <c r="C48" i="33"/>
  <c r="G53" i="33"/>
  <c r="H53" i="33" s="1"/>
  <c r="AC10" i="39"/>
  <c r="W10" i="39"/>
  <c r="E68" i="39"/>
  <c r="D70" i="39"/>
  <c r="F46" i="36"/>
  <c r="G46" i="36" s="1"/>
  <c r="H46" i="36" s="1"/>
  <c r="I46" i="36" s="1"/>
  <c r="J46" i="36" s="1"/>
  <c r="K46" i="36" s="1"/>
  <c r="L46" i="36" s="1"/>
  <c r="M46" i="36" s="1"/>
  <c r="N46" i="36" s="1"/>
  <c r="O46" i="36" s="1"/>
  <c r="J7" i="36"/>
  <c r="G52" i="37"/>
  <c r="H52" i="37" s="1"/>
  <c r="I52" i="37" s="1"/>
  <c r="J52" i="37" s="1"/>
  <c r="K52" i="37" s="1"/>
  <c r="L52" i="37" s="1"/>
  <c r="M52" i="37" s="1"/>
  <c r="N52" i="37" s="1"/>
  <c r="O52" i="37" s="1"/>
  <c r="H7" i="37"/>
  <c r="F7" i="37"/>
  <c r="H48" i="35"/>
  <c r="E53" i="33"/>
  <c r="F53" i="33" s="1"/>
  <c r="E52" i="33"/>
  <c r="F52" i="33" s="1"/>
  <c r="P25" i="43"/>
  <c r="Q73" i="67"/>
  <c r="Q74" i="15"/>
  <c r="Q61" i="15"/>
  <c r="Q61" i="67"/>
  <c r="Q74" i="67"/>
  <c r="C76" i="79"/>
  <c r="M27" i="79"/>
  <c r="F42" i="79"/>
  <c r="C16" i="67"/>
  <c r="M24" i="79"/>
  <c r="F27" i="83"/>
  <c r="F6" i="79"/>
  <c r="M22" i="79"/>
  <c r="F27" i="84"/>
  <c r="M28" i="79"/>
  <c r="D9" i="83"/>
  <c r="M6" i="79"/>
  <c r="L48" i="79"/>
  <c r="F38" i="79"/>
  <c r="F16" i="79"/>
  <c r="F7" i="73"/>
  <c r="M29" i="79"/>
  <c r="F8" i="79"/>
  <c r="F5" i="73"/>
  <c r="D4" i="73"/>
  <c r="D5" i="73"/>
  <c r="F37" i="79"/>
  <c r="D7" i="73"/>
  <c r="F6" i="73"/>
  <c r="J15" i="79"/>
  <c r="C36" i="84"/>
  <c r="F4" i="73"/>
  <c r="F7" i="79"/>
  <c r="F40" i="79"/>
  <c r="M26" i="79"/>
  <c r="D3" i="73"/>
  <c r="F26" i="79"/>
  <c r="M8" i="79"/>
  <c r="L47" i="79"/>
  <c r="C36" i="83"/>
  <c r="F9" i="79"/>
  <c r="F13" i="79"/>
  <c r="C16" i="15"/>
  <c r="D9" i="84"/>
  <c r="M23" i="79"/>
  <c r="D6" i="73"/>
  <c r="F43" i="79"/>
  <c r="F36" i="79"/>
  <c r="M9" i="79"/>
  <c r="F3" i="73"/>
  <c r="D106" i="43" l="1"/>
  <c r="I107" i="43"/>
  <c r="M109" i="43"/>
  <c r="D107" i="43"/>
  <c r="I104" i="43"/>
  <c r="I106" i="43"/>
  <c r="E16" i="6"/>
  <c r="D102" i="43"/>
  <c r="D105" i="43"/>
  <c r="D104" i="43"/>
  <c r="I105" i="43"/>
  <c r="I103" i="43"/>
  <c r="Q60" i="15"/>
  <c r="F1" i="15"/>
  <c r="C49" i="15"/>
  <c r="C29" i="84"/>
  <c r="D27" i="84" s="1"/>
  <c r="C47" i="84"/>
  <c r="D45" i="84" s="1"/>
  <c r="C9" i="84"/>
  <c r="F71" i="79"/>
  <c r="C6" i="79"/>
  <c r="N59" i="79"/>
  <c r="L58" i="79"/>
  <c r="L59" i="79"/>
  <c r="M59" i="79"/>
  <c r="F66" i="79"/>
  <c r="L56" i="79"/>
  <c r="L57" i="79"/>
  <c r="L60" i="79"/>
  <c r="I54" i="79"/>
  <c r="J60" i="79"/>
  <c r="Q48" i="79" s="1"/>
  <c r="J53" i="79"/>
  <c r="J59" i="79"/>
  <c r="J57" i="79"/>
  <c r="J55" i="79" s="1"/>
  <c r="J58" i="79" s="1"/>
  <c r="Q50" i="79" s="1"/>
  <c r="K1" i="73"/>
  <c r="E20" i="43"/>
  <c r="I1" i="73"/>
  <c r="B39" i="1" s="1"/>
  <c r="F50" i="79"/>
  <c r="M7" i="79"/>
  <c r="J6" i="79" s="1"/>
  <c r="C27" i="79"/>
  <c r="F64" i="79"/>
  <c r="F68" i="79"/>
  <c r="F65" i="79"/>
  <c r="F51" i="79"/>
  <c r="Q71" i="79"/>
  <c r="C9" i="83"/>
  <c r="C29" i="83"/>
  <c r="D27" i="83" s="1"/>
  <c r="C47" i="83"/>
  <c r="D45" i="83" s="1"/>
  <c r="E51" i="40"/>
  <c r="F27" i="6"/>
  <c r="E56" i="39"/>
  <c r="D37" i="71"/>
  <c r="T37" i="71"/>
  <c r="D45" i="71"/>
  <c r="T45" i="71"/>
  <c r="H63" i="40"/>
  <c r="G65" i="40"/>
  <c r="D25" i="71"/>
  <c r="T25" i="71"/>
  <c r="C7" i="71"/>
  <c r="D8" i="71"/>
  <c r="E64" i="39"/>
  <c r="E59" i="40"/>
  <c r="N51" i="71"/>
  <c r="N50" i="71"/>
  <c r="D21" i="71"/>
  <c r="T21" i="71"/>
  <c r="C34" i="11"/>
  <c r="C35" i="11" s="1"/>
  <c r="N16" i="1"/>
  <c r="M102" i="43"/>
  <c r="AA10" i="40"/>
  <c r="M103" i="43"/>
  <c r="M106" i="43"/>
  <c r="M104" i="43"/>
  <c r="M105" i="43"/>
  <c r="L16" i="1"/>
  <c r="O6" i="1"/>
  <c r="E102" i="43"/>
  <c r="C47" i="11"/>
  <c r="D45" i="11" s="1"/>
  <c r="C29" i="11"/>
  <c r="D27" i="11" s="1"/>
  <c r="E106" i="43"/>
  <c r="F27" i="69"/>
  <c r="F28" i="12"/>
  <c r="C29" i="12" s="1"/>
  <c r="D28" i="12" s="1"/>
  <c r="E109" i="43"/>
  <c r="E103" i="43"/>
  <c r="E104" i="43"/>
  <c r="E105" i="43"/>
  <c r="AY6" i="3"/>
  <c r="AY566" i="3" s="1"/>
  <c r="E3" i="6"/>
  <c r="L18" i="9" s="1"/>
  <c r="C38" i="69"/>
  <c r="C35" i="69"/>
  <c r="M18" i="9"/>
  <c r="B118" i="9" s="1"/>
  <c r="B14" i="74" s="1"/>
  <c r="B1" i="74" s="1"/>
  <c r="C8" i="74" s="1"/>
  <c r="E6" i="6"/>
  <c r="E6" i="3"/>
  <c r="C115" i="43"/>
  <c r="D113" i="43" s="1"/>
  <c r="F50" i="11"/>
  <c r="AB10" i="39"/>
  <c r="U10" i="39"/>
  <c r="AB10" i="40"/>
  <c r="U10" i="40"/>
  <c r="S10" i="39"/>
  <c r="AA10" i="39"/>
  <c r="W10" i="40"/>
  <c r="AC10" i="40"/>
  <c r="S7" i="37"/>
  <c r="AA7" i="37"/>
  <c r="R42" i="37" s="1"/>
  <c r="F7" i="36"/>
  <c r="I58" i="21"/>
  <c r="I48" i="35"/>
  <c r="J48" i="35" s="1"/>
  <c r="K48" i="35" s="1"/>
  <c r="L48" i="35" s="1"/>
  <c r="M48" i="35" s="1"/>
  <c r="N48" i="35" s="1"/>
  <c r="O48" i="35" s="1"/>
  <c r="F7" i="35"/>
  <c r="U7" i="37"/>
  <c r="AB7" i="37"/>
  <c r="T42" i="37" s="1"/>
  <c r="G42" i="37" s="1"/>
  <c r="W7" i="36"/>
  <c r="AC7" i="36"/>
  <c r="V36" i="36" s="1"/>
  <c r="I36" i="36" s="1"/>
  <c r="E70" i="39"/>
  <c r="F68" i="39"/>
  <c r="H59" i="34"/>
  <c r="I59" i="34" s="1"/>
  <c r="J59" i="34" s="1"/>
  <c r="K59" i="34" s="1"/>
  <c r="L59" i="34" s="1"/>
  <c r="M59" i="34" s="1"/>
  <c r="N59" i="34" s="1"/>
  <c r="O59" i="34" s="1"/>
  <c r="F7" i="34"/>
  <c r="J7" i="34"/>
  <c r="H7" i="36"/>
  <c r="J7" i="37"/>
  <c r="AE6" i="1"/>
  <c r="G1" i="73"/>
  <c r="C16" i="79"/>
  <c r="F27" i="68"/>
  <c r="F31" i="6" l="1"/>
  <c r="E27" i="6"/>
  <c r="B40" i="1"/>
  <c r="D7" i="71"/>
  <c r="C6" i="71"/>
  <c r="I63" i="40"/>
  <c r="H65" i="40"/>
  <c r="F11" i="79"/>
  <c r="M11" i="15"/>
  <c r="J10" i="15" s="1"/>
  <c r="J5" i="15" s="1"/>
  <c r="J18" i="15" s="1"/>
  <c r="F11" i="15"/>
  <c r="M11" i="79"/>
  <c r="J10" i="79" s="1"/>
  <c r="J5" i="79" s="1"/>
  <c r="F11" i="67"/>
  <c r="M11" i="67"/>
  <c r="J10" i="67" s="1"/>
  <c r="J5" i="67" s="1"/>
  <c r="J24" i="67" s="1"/>
  <c r="L46" i="79"/>
  <c r="Q74" i="79"/>
  <c r="Q61" i="79"/>
  <c r="F50" i="69"/>
  <c r="F50" i="84"/>
  <c r="F50" i="83"/>
  <c r="C49" i="79"/>
  <c r="P17" i="43"/>
  <c r="N17" i="43"/>
  <c r="M17" i="43"/>
  <c r="O17" i="43"/>
  <c r="F1" i="79"/>
  <c r="Q52" i="79"/>
  <c r="Q57" i="79"/>
  <c r="Q66" i="79"/>
  <c r="Q73" i="79"/>
  <c r="Q60" i="79"/>
  <c r="AY246" i="3"/>
  <c r="S4" i="43"/>
  <c r="S7" i="43"/>
  <c r="S2" i="43"/>
  <c r="S6" i="43"/>
  <c r="S3" i="43"/>
  <c r="C23" i="43"/>
  <c r="C21" i="43" s="1"/>
  <c r="S5" i="43"/>
  <c r="F50" i="68"/>
  <c r="AY188" i="3"/>
  <c r="AY60" i="3"/>
  <c r="AY436" i="3"/>
  <c r="AY250" i="3"/>
  <c r="AY28" i="3"/>
  <c r="AY252" i="3"/>
  <c r="AY384" i="3"/>
  <c r="AY530" i="3"/>
  <c r="AY149" i="3"/>
  <c r="AY59" i="3"/>
  <c r="AY228" i="3"/>
  <c r="AY139" i="3"/>
  <c r="AY43" i="3"/>
  <c r="AY69" i="3"/>
  <c r="AY388" i="3"/>
  <c r="AY440" i="3"/>
  <c r="AY437" i="3"/>
  <c r="AY318" i="3"/>
  <c r="AY268" i="3"/>
  <c r="AY245" i="3"/>
  <c r="AY294" i="3"/>
  <c r="BK6" i="3"/>
  <c r="AY335" i="3"/>
  <c r="AY67" i="3"/>
  <c r="AY123" i="3"/>
  <c r="AY489" i="3"/>
  <c r="AY379" i="3"/>
  <c r="AY540" i="3"/>
  <c r="AY141" i="3"/>
  <c r="AY73" i="3"/>
  <c r="AY430" i="3"/>
  <c r="AY195" i="3"/>
  <c r="AY120" i="3"/>
  <c r="AY298" i="3"/>
  <c r="AY147" i="3"/>
  <c r="D19" i="11"/>
  <c r="C19" i="11" s="1"/>
  <c r="C20" i="11" s="1"/>
  <c r="C28" i="11" s="1"/>
  <c r="C27" i="11" s="1"/>
  <c r="C38" i="11"/>
  <c r="D3" i="37"/>
  <c r="D3" i="34"/>
  <c r="P6" i="1"/>
  <c r="P16" i="1" s="1"/>
  <c r="C11" i="12" s="1"/>
  <c r="O16" i="1"/>
  <c r="C29" i="68"/>
  <c r="D27" i="68" s="1"/>
  <c r="C47" i="68"/>
  <c r="D45" i="68" s="1"/>
  <c r="C47" i="69"/>
  <c r="D45" i="69" s="1"/>
  <c r="C29" i="69"/>
  <c r="D27" i="69" s="1"/>
  <c r="C17" i="4"/>
  <c r="B4" i="52" s="1"/>
  <c r="B43" i="72" s="1"/>
  <c r="D37" i="11"/>
  <c r="C37" i="11" s="1"/>
  <c r="D3" i="21"/>
  <c r="D3" i="33"/>
  <c r="B2" i="33" s="1"/>
  <c r="B3" i="33" s="1"/>
  <c r="D14" i="12"/>
  <c r="C14" i="12" s="1"/>
  <c r="AY395" i="3"/>
  <c r="AY452" i="3"/>
  <c r="AY299" i="3"/>
  <c r="AY513" i="3"/>
  <c r="AY371" i="3"/>
  <c r="AY214" i="3"/>
  <c r="AY138" i="3"/>
  <c r="AY108" i="3"/>
  <c r="AY465" i="3"/>
  <c r="AY409" i="3"/>
  <c r="AY297" i="3"/>
  <c r="AY176" i="3"/>
  <c r="AY196" i="3"/>
  <c r="AY74" i="3"/>
  <c r="AY204" i="3"/>
  <c r="AY363" i="3"/>
  <c r="AY412" i="3"/>
  <c r="AY229" i="3"/>
  <c r="AY326" i="3"/>
  <c r="AY557" i="3"/>
  <c r="AY105" i="3"/>
  <c r="AY198" i="3"/>
  <c r="AY255" i="3"/>
  <c r="AY360" i="3"/>
  <c r="AY145" i="3"/>
  <c r="AY316" i="3"/>
  <c r="AY585" i="3"/>
  <c r="AY131" i="3"/>
  <c r="AY576" i="3"/>
  <c r="AY383" i="3"/>
  <c r="AY47" i="3"/>
  <c r="AY431" i="3"/>
  <c r="AY490" i="3"/>
  <c r="AY407" i="3"/>
  <c r="AY237" i="3"/>
  <c r="AY52" i="3"/>
  <c r="AY162" i="3"/>
  <c r="AY291" i="3"/>
  <c r="AY238" i="3"/>
  <c r="AY374" i="3"/>
  <c r="BH6" i="3"/>
  <c r="AY202" i="3"/>
  <c r="AY259" i="3"/>
  <c r="AY333" i="3"/>
  <c r="AY472" i="3"/>
  <c r="AY411" i="3"/>
  <c r="AY77" i="3"/>
  <c r="AY428" i="3"/>
  <c r="AY342" i="3"/>
  <c r="AY39" i="3"/>
  <c r="AY13" i="3"/>
  <c r="AY330" i="3"/>
  <c r="AY233" i="3"/>
  <c r="AY203" i="3"/>
  <c r="AY563" i="3"/>
  <c r="AY575" i="3"/>
  <c r="AY492" i="3"/>
  <c r="AY556" i="3"/>
  <c r="AY148" i="3"/>
  <c r="AY285" i="3"/>
  <c r="AY582" i="3"/>
  <c r="AY258" i="3"/>
  <c r="AY454" i="3"/>
  <c r="AY109" i="3"/>
  <c r="AY56" i="3"/>
  <c r="AY166" i="3"/>
  <c r="AY295" i="3"/>
  <c r="AY242" i="3"/>
  <c r="AY353" i="3"/>
  <c r="AY348" i="3"/>
  <c r="AY475" i="3"/>
  <c r="AY462" i="3"/>
  <c r="AY398" i="3"/>
  <c r="BQ6" i="3"/>
  <c r="AY206" i="3"/>
  <c r="AY155" i="3"/>
  <c r="AY553" i="3"/>
  <c r="AY23" i="3"/>
  <c r="AY392" i="3"/>
  <c r="AY175" i="3"/>
  <c r="AY22" i="3"/>
  <c r="AY102" i="3"/>
  <c r="AY528" i="3"/>
  <c r="AY421" i="3"/>
  <c r="AY482" i="3"/>
  <c r="AY347" i="3"/>
  <c r="AY216" i="3"/>
  <c r="AY296" i="3"/>
  <c r="AY140" i="3"/>
  <c r="AY30" i="3"/>
  <c r="AY110" i="3"/>
  <c r="AY548" i="3"/>
  <c r="AY537" i="3"/>
  <c r="AY17" i="3"/>
  <c r="AY450" i="3"/>
  <c r="AY352" i="3"/>
  <c r="AY32" i="3"/>
  <c r="AY511" i="3"/>
  <c r="AY224" i="3"/>
  <c r="AY91" i="3"/>
  <c r="AY362" i="3"/>
  <c r="AY99" i="3"/>
  <c r="AY329" i="3"/>
  <c r="AY243" i="3"/>
  <c r="AY183" i="3"/>
  <c r="AY157" i="3"/>
  <c r="AY455" i="3"/>
  <c r="AY62" i="3"/>
  <c r="AY564" i="3"/>
  <c r="AY399" i="3"/>
  <c r="AY418" i="3"/>
  <c r="AY461" i="3"/>
  <c r="AY336" i="3"/>
  <c r="AY218" i="3"/>
  <c r="AY142" i="3"/>
  <c r="AY112" i="3"/>
  <c r="AY510" i="3"/>
  <c r="AY429" i="3"/>
  <c r="AY354" i="3"/>
  <c r="AY277" i="3"/>
  <c r="AY38" i="3"/>
  <c r="AY560" i="3"/>
  <c r="AY469" i="3"/>
  <c r="AY232" i="3"/>
  <c r="AY156" i="3"/>
  <c r="AY565" i="3"/>
  <c r="AY468" i="3"/>
  <c r="AY251" i="3"/>
  <c r="AY516" i="3"/>
  <c r="AY146" i="3"/>
  <c r="AY114" i="3"/>
  <c r="AY449" i="3"/>
  <c r="BB6" i="3"/>
  <c r="AY447" i="3"/>
  <c r="AY349" i="3"/>
  <c r="AY173" i="3"/>
  <c r="AY167" i="3"/>
  <c r="AY3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46" i="3"/>
  <c r="AY570" i="3"/>
  <c r="AY14" i="3"/>
  <c r="AY426" i="3"/>
  <c r="AY312" i="3"/>
  <c r="AY380" i="3"/>
  <c r="AY194" i="3"/>
  <c r="AY559" i="3"/>
  <c r="AY464" i="3"/>
  <c r="BI6" i="3"/>
  <c r="AY481" i="3"/>
  <c r="AY561" i="3"/>
  <c r="AY20" i="3"/>
  <c r="AY231" i="3"/>
  <c r="AY309" i="3"/>
  <c r="AY181" i="3"/>
  <c r="AY211" i="3"/>
  <c r="AY85" i="3"/>
  <c r="AY526" i="3"/>
  <c r="AY98" i="3"/>
  <c r="AY270" i="3"/>
  <c r="AY433" i="3"/>
  <c r="AY404" i="3"/>
  <c r="AY189" i="3"/>
  <c r="AY16" i="3"/>
  <c r="AY358" i="3"/>
  <c r="AY174" i="3"/>
  <c r="AY192" i="3"/>
  <c r="AY63" i="3"/>
  <c r="AY578" i="3"/>
  <c r="AY542" i="3"/>
  <c r="AY524" i="3"/>
  <c r="AY506" i="3"/>
  <c r="AY439" i="3"/>
  <c r="AY458" i="3"/>
  <c r="AY471" i="3"/>
  <c r="AY344" i="3"/>
  <c r="AY364" i="3"/>
  <c r="AY234" i="3"/>
  <c r="AY137" i="3"/>
  <c r="AY65" i="3"/>
  <c r="AY501" i="3"/>
  <c r="AY527" i="3"/>
  <c r="AY403" i="3"/>
  <c r="AY325" i="3"/>
  <c r="AY186" i="3"/>
  <c r="AY222" i="3"/>
  <c r="AY89" i="3"/>
  <c r="AY425" i="3"/>
  <c r="AY191" i="3"/>
  <c r="AY491" i="3"/>
  <c r="AY357" i="3"/>
  <c r="AY212" i="3"/>
  <c r="AY470" i="3"/>
  <c r="AY406" i="3"/>
  <c r="AY483" i="3"/>
  <c r="AY370" i="3"/>
  <c r="AY121" i="3"/>
  <c r="AY72" i="3"/>
  <c r="AY368" i="3"/>
  <c r="AY271" i="3"/>
  <c r="AY25" i="3"/>
  <c r="AY574" i="3"/>
  <c r="AY390" i="3"/>
  <c r="AY334" i="3"/>
  <c r="AY163" i="3"/>
  <c r="AY427" i="3"/>
  <c r="AY24" i="3"/>
  <c r="AY539" i="3"/>
  <c r="AY50" i="3"/>
  <c r="AY66" i="3"/>
  <c r="BF6" i="3"/>
  <c r="AY93" i="3"/>
  <c r="AY543" i="3"/>
  <c r="AY453" i="3"/>
  <c r="AY27" i="3"/>
  <c r="AY320" i="3"/>
  <c r="AY107" i="3"/>
  <c r="AY328" i="3"/>
  <c r="BT6" i="3"/>
  <c r="AY523" i="3"/>
  <c r="AY171" i="3"/>
  <c r="AY534" i="3"/>
  <c r="AY488" i="3"/>
  <c r="AY290" i="3"/>
  <c r="AY554" i="3"/>
  <c r="AY193" i="3"/>
  <c r="AY343" i="3"/>
  <c r="AY261" i="3"/>
  <c r="AY225" i="3"/>
  <c r="AY118" i="3"/>
  <c r="AY284" i="3"/>
  <c r="AY274" i="3"/>
  <c r="AY220" i="3"/>
  <c r="AY126" i="3"/>
  <c r="AY226" i="3"/>
  <c r="AY572" i="3"/>
  <c r="AY519" i="3"/>
  <c r="AY266" i="3"/>
  <c r="AY509" i="3"/>
  <c r="AY466" i="3"/>
  <c r="AY323" i="3"/>
  <c r="AY153" i="3"/>
  <c r="AY538" i="3"/>
  <c r="AY359" i="3"/>
  <c r="AY339" i="3"/>
  <c r="AY40" i="3"/>
  <c r="AY587" i="3"/>
  <c r="AY500" i="3"/>
  <c r="AY282" i="3"/>
  <c r="AY400" i="3"/>
  <c r="AY416" i="3"/>
  <c r="AY313" i="3"/>
  <c r="AY579" i="3"/>
  <c r="AY94" i="3"/>
  <c r="AY221" i="3"/>
  <c r="AY512" i="3"/>
  <c r="AY273" i="3"/>
  <c r="AY550" i="3"/>
  <c r="AY81" i="3"/>
  <c r="AY396" i="3"/>
  <c r="AY434" i="3"/>
  <c r="AY545" i="3"/>
  <c r="AY301" i="3"/>
  <c r="AY408" i="3"/>
  <c r="AY288" i="3"/>
  <c r="AY413" i="3"/>
  <c r="AY82" i="3"/>
  <c r="BG6" i="3"/>
  <c r="AY78" i="3"/>
  <c r="BC6" i="3"/>
  <c r="BP6" i="3"/>
  <c r="AY386" i="3"/>
  <c r="AY182" i="3"/>
  <c r="AY314" i="3"/>
  <c r="AY394" i="3"/>
  <c r="AY37" i="3"/>
  <c r="AY477" i="3"/>
  <c r="AY517" i="3"/>
  <c r="AY164" i="3"/>
  <c r="AY208" i="3"/>
  <c r="AY474" i="3"/>
  <c r="AY583" i="3"/>
  <c r="AY227" i="3"/>
  <c r="BO6" i="3"/>
  <c r="AY435" i="3"/>
  <c r="AY169" i="3"/>
  <c r="AY499" i="3"/>
  <c r="AY376" i="3"/>
  <c r="AY256" i="3"/>
  <c r="AY64" i="3"/>
  <c r="AY402" i="3"/>
  <c r="AY265" i="3"/>
  <c r="AY143" i="3"/>
  <c r="AY443" i="3"/>
  <c r="AY197" i="3"/>
  <c r="AY580" i="3"/>
  <c r="AY502" i="3"/>
  <c r="AY367" i="3"/>
  <c r="AY505" i="3"/>
  <c r="AY293" i="3"/>
  <c r="AY355" i="3"/>
  <c r="AY264" i="3"/>
  <c r="AY151" i="3"/>
  <c r="AY552" i="3"/>
  <c r="AY240" i="3"/>
  <c r="AY345" i="3"/>
  <c r="AY287" i="3"/>
  <c r="AY158" i="3"/>
  <c r="AY48" i="3"/>
  <c r="AY101" i="3"/>
  <c r="AY494" i="3"/>
  <c r="AY495" i="3"/>
  <c r="AY518" i="3"/>
  <c r="BN6" i="3"/>
  <c r="AY525" i="3"/>
  <c r="AY422" i="3"/>
  <c r="AY308" i="3"/>
  <c r="AY393" i="3"/>
  <c r="AY130" i="3"/>
  <c r="AY57" i="3"/>
  <c r="AY365" i="3"/>
  <c r="AY302" i="3"/>
  <c r="AY36" i="3"/>
  <c r="AY562" i="3"/>
  <c r="AY244" i="3"/>
  <c r="AY350" i="3"/>
  <c r="AY31" i="3"/>
  <c r="AY546" i="3"/>
  <c r="AY414" i="3"/>
  <c r="AY377" i="3"/>
  <c r="AY41" i="3"/>
  <c r="AY286" i="3"/>
  <c r="AY573" i="3"/>
  <c r="AY319" i="3"/>
  <c r="AY103" i="3"/>
  <c r="AY541" i="3"/>
  <c r="AY419" i="3"/>
  <c r="AY438" i="3"/>
  <c r="AY480" i="3"/>
  <c r="AY324" i="3"/>
  <c r="AY341" i="3"/>
  <c r="AY215" i="3"/>
  <c r="AY275" i="3"/>
  <c r="AY161" i="3"/>
  <c r="AY29" i="3"/>
  <c r="AY88" i="3"/>
  <c r="AY507" i="3"/>
  <c r="AY373" i="3"/>
  <c r="AY254" i="3"/>
  <c r="AY117" i="3"/>
  <c r="AY178" i="3"/>
  <c r="AY68" i="3"/>
  <c r="AY555" i="3"/>
  <c r="AY535" i="3"/>
  <c r="AY311" i="3"/>
  <c r="AY269" i="3"/>
  <c r="AY444" i="3"/>
  <c r="AY387" i="3"/>
  <c r="AY75" i="3"/>
  <c r="AY90" i="3"/>
  <c r="AY18" i="3"/>
  <c r="AY571" i="3"/>
  <c r="BM6" i="3"/>
  <c r="AY446" i="3"/>
  <c r="AY332" i="3"/>
  <c r="AY210" i="3"/>
  <c r="AY177" i="3"/>
  <c r="AY104" i="3"/>
  <c r="AY381" i="3"/>
  <c r="AY134" i="3"/>
  <c r="AY84" i="3"/>
  <c r="AY417" i="3"/>
  <c r="AY116" i="3"/>
  <c r="AY209" i="3"/>
  <c r="AY289" i="3"/>
  <c r="AY115" i="3"/>
  <c r="AY180" i="3"/>
  <c r="AY45" i="3"/>
  <c r="AY58" i="3"/>
  <c r="AY276" i="3"/>
  <c r="AY478" i="3"/>
  <c r="BJ6" i="3"/>
  <c r="AY457" i="3"/>
  <c r="AY132" i="3"/>
  <c r="AY199" i="3"/>
  <c r="AY53" i="3"/>
  <c r="AY389" i="3"/>
  <c r="AY150" i="3"/>
  <c r="AY340" i="3"/>
  <c r="AY503" i="3"/>
  <c r="AY520" i="3"/>
  <c r="AY584" i="3"/>
  <c r="AY80" i="3"/>
  <c r="AY129" i="3"/>
  <c r="AY369" i="3"/>
  <c r="AY487" i="3"/>
  <c r="AY410" i="3"/>
  <c r="D3" i="6"/>
  <c r="D6" i="6" s="1"/>
  <c r="AY531" i="3"/>
  <c r="AY35" i="3"/>
  <c r="AY280" i="3"/>
  <c r="AY331" i="3"/>
  <c r="AY405" i="3"/>
  <c r="AY86" i="3"/>
  <c r="AY159" i="3"/>
  <c r="AY213" i="3"/>
  <c r="AY459" i="3"/>
  <c r="AY504" i="3"/>
  <c r="AY496" i="3"/>
  <c r="AY21" i="3"/>
  <c r="AY267" i="3"/>
  <c r="AY337" i="3"/>
  <c r="AY476" i="3"/>
  <c r="AY415" i="3"/>
  <c r="AY515" i="3"/>
  <c r="AY493" i="3"/>
  <c r="AY172" i="3"/>
  <c r="AY248" i="3"/>
  <c r="AY485" i="3"/>
  <c r="AY547" i="3"/>
  <c r="AY54" i="3"/>
  <c r="AY136" i="3"/>
  <c r="AY272" i="3"/>
  <c r="AY375" i="3"/>
  <c r="AY322" i="3"/>
  <c r="AY432" i="3"/>
  <c r="AY15" i="3"/>
  <c r="AY567" i="3"/>
  <c r="AY497" i="3"/>
  <c r="AY317" i="3"/>
  <c r="AY486" i="3"/>
  <c r="AY239" i="3"/>
  <c r="AY356" i="3"/>
  <c r="AY536" i="3"/>
  <c r="AY96" i="3"/>
  <c r="AY223" i="3"/>
  <c r="AY442" i="3"/>
  <c r="BR6" i="3"/>
  <c r="AY127" i="3"/>
  <c r="AY424" i="3"/>
  <c r="AY179" i="3"/>
  <c r="AY306" i="3"/>
  <c r="AY532" i="3"/>
  <c r="AY113" i="3"/>
  <c r="AY479" i="3"/>
  <c r="AY522" i="3"/>
  <c r="AY19" i="3"/>
  <c r="AY315" i="3"/>
  <c r="AY71" i="3"/>
  <c r="AY257" i="3"/>
  <c r="AY307" i="3"/>
  <c r="AY521" i="3"/>
  <c r="AY160" i="3"/>
  <c r="AY292" i="3"/>
  <c r="AY279" i="3"/>
  <c r="AY514" i="3"/>
  <c r="AY484" i="3"/>
  <c r="AY187" i="3"/>
  <c r="AY70" i="3"/>
  <c r="AY498" i="3"/>
  <c r="AY305" i="3"/>
  <c r="AY79" i="3"/>
  <c r="AY568" i="3"/>
  <c r="AY351" i="3"/>
  <c r="AY100" i="3"/>
  <c r="AY467" i="3"/>
  <c r="AY423" i="3"/>
  <c r="AY119" i="3"/>
  <c r="AY445" i="3"/>
  <c r="AY200" i="3"/>
  <c r="AY581" i="3"/>
  <c r="BA6" i="3"/>
  <c r="AY551" i="3"/>
  <c r="BS6" i="3"/>
  <c r="AY451" i="3"/>
  <c r="AY201"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3" i="3"/>
  <c r="AY569" i="3"/>
  <c r="AY263" i="3"/>
  <c r="AY106" i="3"/>
  <c r="AY170"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C7" i="74"/>
  <c r="C33" i="11"/>
  <c r="C39" i="11" s="1"/>
  <c r="C46" i="11" s="1"/>
  <c r="C45" i="11" s="1"/>
  <c r="D20" i="12"/>
  <c r="C20" i="12" s="1"/>
  <c r="C18" i="12" s="1"/>
  <c r="D10" i="11"/>
  <c r="C10" i="11" s="1"/>
  <c r="D10" i="69"/>
  <c r="AB7" i="36"/>
  <c r="T36" i="36" s="1"/>
  <c r="G36" i="36" s="1"/>
  <c r="U7" i="36"/>
  <c r="S7" i="34"/>
  <c r="AA7" i="34"/>
  <c r="R49" i="34" s="1"/>
  <c r="G68" i="39"/>
  <c r="F70" i="39"/>
  <c r="I40" i="36"/>
  <c r="J40" i="36" s="1"/>
  <c r="G46" i="37"/>
  <c r="H46" i="37" s="1"/>
  <c r="AA7" i="35"/>
  <c r="R38" i="35" s="1"/>
  <c r="S7" i="35"/>
  <c r="S7" i="36"/>
  <c r="AA7" i="36"/>
  <c r="R36" i="36" s="1"/>
  <c r="AC7" i="37"/>
  <c r="V42" i="37" s="1"/>
  <c r="I42" i="37" s="1"/>
  <c r="G47" i="37" s="1"/>
  <c r="H47" i="37" s="1"/>
  <c r="W7" i="37"/>
  <c r="AC7" i="34"/>
  <c r="V49" i="34" s="1"/>
  <c r="I49" i="34" s="1"/>
  <c r="W7" i="34"/>
  <c r="J58" i="21"/>
  <c r="R43" i="37"/>
  <c r="E42" i="37"/>
  <c r="J7" i="35"/>
  <c r="H7" i="34"/>
  <c r="H7" i="35"/>
  <c r="AE7" i="1"/>
  <c r="F41" i="15"/>
  <c r="C34" i="68"/>
  <c r="D10" i="68"/>
  <c r="F41" i="67"/>
  <c r="F69" i="15" l="1"/>
  <c r="F69" i="67"/>
  <c r="K22" i="6"/>
  <c r="M22" i="6" s="1"/>
  <c r="I22" i="6" s="1"/>
  <c r="S22" i="6" s="1"/>
  <c r="K25" i="6"/>
  <c r="M25" i="6" s="1"/>
  <c r="I25" i="6" s="1"/>
  <c r="S25" i="6" s="1"/>
  <c r="K26" i="6"/>
  <c r="M26" i="6" s="1"/>
  <c r="I26" i="6" s="1"/>
  <c r="S26" i="6" s="1"/>
  <c r="K23" i="6"/>
  <c r="M23" i="6" s="1"/>
  <c r="I23" i="6" s="1"/>
  <c r="S23" i="6" s="1"/>
  <c r="K24" i="6"/>
  <c r="M24" i="6" s="1"/>
  <c r="I24" i="6" s="1"/>
  <c r="K21" i="6"/>
  <c r="M21" i="6" s="1"/>
  <c r="I21" i="6" s="1"/>
  <c r="S21" i="6" s="1"/>
  <c r="K19" i="6"/>
  <c r="E31" i="6"/>
  <c r="K20" i="6"/>
  <c r="J26" i="67"/>
  <c r="J29" i="67" s="1"/>
  <c r="J26" i="15"/>
  <c r="J29" i="15" s="1"/>
  <c r="J18" i="67"/>
  <c r="J24" i="15"/>
  <c r="C53" i="67"/>
  <c r="C48" i="67" s="1"/>
  <c r="C10" i="67"/>
  <c r="C5" i="67" s="1"/>
  <c r="C53" i="15"/>
  <c r="C48" i="15" s="1"/>
  <c r="C10" i="15"/>
  <c r="C5" i="15" s="1"/>
  <c r="C33" i="15" s="1"/>
  <c r="C53" i="79"/>
  <c r="C48" i="79" s="1"/>
  <c r="C10" i="79"/>
  <c r="C5" i="79" s="1"/>
  <c r="J63" i="40"/>
  <c r="I65" i="40"/>
  <c r="J24" i="79"/>
  <c r="J26" i="79"/>
  <c r="J18" i="79"/>
  <c r="C5" i="71"/>
  <c r="D5" i="71" s="1"/>
  <c r="M20" i="43" s="1"/>
  <c r="C19" i="43" s="1"/>
  <c r="D6" i="71"/>
  <c r="F22" i="84"/>
  <c r="F24" i="79"/>
  <c r="C24" i="79" s="1"/>
  <c r="F22" i="83"/>
  <c r="F24" i="67"/>
  <c r="C24" i="67" s="1"/>
  <c r="F22" i="11"/>
  <c r="C43" i="11" s="1"/>
  <c r="F25" i="12"/>
  <c r="C26" i="12" s="1"/>
  <c r="D25" i="12" s="1"/>
  <c r="F22" i="68"/>
  <c r="F22" i="69"/>
  <c r="F24" i="15"/>
  <c r="C24" i="15" s="1"/>
  <c r="C38" i="68"/>
  <c r="C35" i="68"/>
  <c r="E66" i="39"/>
  <c r="C15" i="12"/>
  <c r="C12" i="12"/>
  <c r="D17" i="12"/>
  <c r="C17" i="12" s="1"/>
  <c r="D15" i="6"/>
  <c r="D11" i="6"/>
  <c r="D25" i="6"/>
  <c r="D24" i="6"/>
  <c r="E61" i="40"/>
  <c r="H21" i="6"/>
  <c r="D10" i="6"/>
  <c r="D20" i="6"/>
  <c r="D12" i="6"/>
  <c r="D28" i="6"/>
  <c r="D21" i="6"/>
  <c r="D13" i="6"/>
  <c r="D29" i="6"/>
  <c r="M19" i="9"/>
  <c r="C118" i="9" s="1"/>
  <c r="C14" i="74" s="1"/>
  <c r="B2" i="74" s="1"/>
  <c r="L19" i="9"/>
  <c r="D23" i="6"/>
  <c r="D19" i="6"/>
  <c r="D9" i="6"/>
  <c r="D8" i="6"/>
  <c r="H25" i="6"/>
  <c r="D5" i="6"/>
  <c r="D22" i="6"/>
  <c r="C18" i="4"/>
  <c r="D14" i="6"/>
  <c r="D26" i="6"/>
  <c r="H23" i="6"/>
  <c r="D19" i="69"/>
  <c r="C10" i="69"/>
  <c r="C8" i="69" s="1"/>
  <c r="C5" i="69" s="1"/>
  <c r="D19" i="68"/>
  <c r="C10" i="68"/>
  <c r="C8" i="68" s="1"/>
  <c r="AB7" i="35"/>
  <c r="T38" i="35" s="1"/>
  <c r="G38" i="35" s="1"/>
  <c r="U7" i="35"/>
  <c r="U7" i="34"/>
  <c r="AB7" i="34"/>
  <c r="T49" i="34" s="1"/>
  <c r="G49" i="34" s="1"/>
  <c r="E47" i="37"/>
  <c r="F47" i="37" s="1"/>
  <c r="E46" i="37"/>
  <c r="F46" i="37" s="1"/>
  <c r="I53" i="34"/>
  <c r="J53" i="34" s="1"/>
  <c r="I47" i="37"/>
  <c r="J47" i="37" s="1"/>
  <c r="I46" i="37"/>
  <c r="J46" i="37" s="1"/>
  <c r="R39" i="35"/>
  <c r="E38" i="35"/>
  <c r="H68" i="39"/>
  <c r="G70" i="39"/>
  <c r="E49" i="34"/>
  <c r="R50" i="34"/>
  <c r="AC7" i="35"/>
  <c r="V38" i="35" s="1"/>
  <c r="I38" i="35" s="1"/>
  <c r="W7" i="35"/>
  <c r="C43" i="37"/>
  <c r="B2" i="37" s="1"/>
  <c r="B3" i="37" s="1"/>
  <c r="C42" i="37"/>
  <c r="K58" i="21"/>
  <c r="L58" i="21" s="1"/>
  <c r="M58" i="21" s="1"/>
  <c r="N58" i="21" s="1"/>
  <c r="O58" i="21" s="1"/>
  <c r="J7" i="21"/>
  <c r="E36" i="36"/>
  <c r="R37" i="36"/>
  <c r="G40" i="36"/>
  <c r="H40" i="36" s="1"/>
  <c r="G41" i="36"/>
  <c r="H41" i="36" s="1"/>
  <c r="F41" i="79"/>
  <c r="C23" i="69" l="1"/>
  <c r="H26" i="6"/>
  <c r="H22" i="6"/>
  <c r="S7" i="1"/>
  <c r="M20" i="6"/>
  <c r="I20" i="6" s="1"/>
  <c r="S6" i="1"/>
  <c r="M19" i="6"/>
  <c r="K27" i="6"/>
  <c r="S24" i="6"/>
  <c r="H24" i="6"/>
  <c r="R24" i="6" s="1"/>
  <c r="F69" i="79"/>
  <c r="J29" i="79"/>
  <c r="C44" i="68"/>
  <c r="D41" i="68" s="1"/>
  <c r="C26" i="68"/>
  <c r="D22" i="68" s="1"/>
  <c r="C44" i="11"/>
  <c r="D41" i="11" s="1"/>
  <c r="C26" i="11"/>
  <c r="D22" i="11" s="1"/>
  <c r="C25" i="11"/>
  <c r="C23" i="11"/>
  <c r="C24" i="11"/>
  <c r="C44" i="83"/>
  <c r="D41" i="83" s="1"/>
  <c r="C26" i="83"/>
  <c r="D22" i="83" s="1"/>
  <c r="C26" i="84"/>
  <c r="D22" i="84" s="1"/>
  <c r="C44" i="84"/>
  <c r="D41" i="84" s="1"/>
  <c r="C37" i="43"/>
  <c r="T13" i="43"/>
  <c r="V13" i="43" s="1"/>
  <c r="C35" i="43"/>
  <c r="T8" i="43"/>
  <c r="V8" i="43" s="1"/>
  <c r="C36" i="43"/>
  <c r="T2" i="43"/>
  <c r="V2" i="43" s="1"/>
  <c r="C29" i="43"/>
  <c r="T5" i="43"/>
  <c r="V5" i="43" s="1"/>
  <c r="C38" i="43"/>
  <c r="T6" i="43"/>
  <c r="V6" i="43" s="1"/>
  <c r="T3" i="43"/>
  <c r="V3" i="43" s="1"/>
  <c r="C39" i="43"/>
  <c r="T12" i="43"/>
  <c r="V12" i="43" s="1"/>
  <c r="C33" i="43"/>
  <c r="T16" i="43"/>
  <c r="V16" i="43" s="1"/>
  <c r="T14" i="43"/>
  <c r="V14" i="43" s="1"/>
  <c r="T4" i="43"/>
  <c r="V4" i="43" s="1"/>
  <c r="C34" i="43"/>
  <c r="T11" i="43"/>
  <c r="V11" i="43" s="1"/>
  <c r="T10" i="43"/>
  <c r="V10" i="43" s="1"/>
  <c r="T7" i="43"/>
  <c r="V7" i="43" s="1"/>
  <c r="T9" i="43"/>
  <c r="V9" i="43" s="1"/>
  <c r="T15" i="43"/>
  <c r="V15" i="43" s="1"/>
  <c r="C38" i="79"/>
  <c r="C32" i="79"/>
  <c r="C33" i="79"/>
  <c r="C32" i="15"/>
  <c r="C38" i="15"/>
  <c r="C32" i="67"/>
  <c r="C38" i="67"/>
  <c r="C42" i="11"/>
  <c r="C41" i="11" s="1"/>
  <c r="C26" i="69"/>
  <c r="D22" i="69" s="1"/>
  <c r="C44" i="69"/>
  <c r="D41" i="69" s="1"/>
  <c r="K63" i="40"/>
  <c r="J65" i="40"/>
  <c r="C66" i="79"/>
  <c r="C60" i="79"/>
  <c r="C60" i="15"/>
  <c r="C66" i="15"/>
  <c r="C66" i="67"/>
  <c r="C60" i="67"/>
  <c r="H38" i="39"/>
  <c r="J38" i="39"/>
  <c r="F38" i="39"/>
  <c r="C16" i="12"/>
  <c r="C21" i="12" s="1"/>
  <c r="C22" i="12" s="1"/>
  <c r="C30" i="12" s="1"/>
  <c r="C28" i="12" s="1"/>
  <c r="R26" i="6"/>
  <c r="D30" i="6"/>
  <c r="R22" i="6"/>
  <c r="D16" i="6"/>
  <c r="D27" i="6"/>
  <c r="R21" i="6"/>
  <c r="R25" i="6"/>
  <c r="C4" i="52"/>
  <c r="B45" i="72" s="1"/>
  <c r="A7" i="51"/>
  <c r="B7" i="72" s="1"/>
  <c r="A10" i="51"/>
  <c r="B9" i="72" s="1"/>
  <c r="R23" i="6"/>
  <c r="D8" i="74"/>
  <c r="D7" i="74"/>
  <c r="C19" i="68"/>
  <c r="D37" i="68"/>
  <c r="C37" i="68" s="1"/>
  <c r="C33" i="68" s="1"/>
  <c r="C19" i="69"/>
  <c r="D37" i="69"/>
  <c r="C37" i="69" s="1"/>
  <c r="C33" i="69" s="1"/>
  <c r="C37" i="36"/>
  <c r="B2" i="36" s="1"/>
  <c r="B3" i="36" s="1"/>
  <c r="C36" i="36"/>
  <c r="E41" i="36"/>
  <c r="F41" i="36" s="1"/>
  <c r="E40" i="36"/>
  <c r="F40" i="36" s="1"/>
  <c r="I41" i="36"/>
  <c r="J41" i="36" s="1"/>
  <c r="H7" i="21"/>
  <c r="C49" i="34"/>
  <c r="C50" i="34"/>
  <c r="B2" i="34" s="1"/>
  <c r="B3" i="34" s="1"/>
  <c r="E43" i="35"/>
  <c r="F43" i="35" s="1"/>
  <c r="E42" i="35"/>
  <c r="F42" i="35" s="1"/>
  <c r="G53" i="34"/>
  <c r="H53" i="34" s="1"/>
  <c r="G54" i="34"/>
  <c r="H54" i="34" s="1"/>
  <c r="F7" i="21"/>
  <c r="AC7" i="21"/>
  <c r="V48" i="21" s="1"/>
  <c r="I48" i="21" s="1"/>
  <c r="W7" i="21"/>
  <c r="I42" i="35"/>
  <c r="J42" i="35" s="1"/>
  <c r="I43" i="35"/>
  <c r="J43" i="35" s="1"/>
  <c r="E54" i="34"/>
  <c r="F54" i="34" s="1"/>
  <c r="E53" i="34"/>
  <c r="F53" i="34" s="1"/>
  <c r="I68" i="39"/>
  <c r="H70" i="39"/>
  <c r="C39" i="35"/>
  <c r="B2" i="35" s="1"/>
  <c r="B3" i="35" s="1"/>
  <c r="C38" i="35"/>
  <c r="I54" i="34"/>
  <c r="J54" i="34" s="1"/>
  <c r="G42" i="35"/>
  <c r="H42" i="35" s="1"/>
  <c r="G43" i="35"/>
  <c r="H43" i="35" s="1"/>
  <c r="C14" i="67"/>
  <c r="C17" i="79"/>
  <c r="C17" i="67"/>
  <c r="D10" i="84"/>
  <c r="C17" i="15"/>
  <c r="D10" i="83"/>
  <c r="C18" i="67" l="1"/>
  <c r="C15" i="67"/>
  <c r="D19" i="83"/>
  <c r="C10" i="83"/>
  <c r="D19" i="84"/>
  <c r="C10" i="84"/>
  <c r="M27" i="6"/>
  <c r="I19" i="6"/>
  <c r="S20" i="6"/>
  <c r="H20" i="6"/>
  <c r="R20" i="6" s="1"/>
  <c r="R7" i="1" s="1"/>
  <c r="AQ6" i="1"/>
  <c r="AR6" i="1"/>
  <c r="E6" i="70"/>
  <c r="T6" i="1"/>
  <c r="S16" i="1"/>
  <c r="E7" i="70"/>
  <c r="T7" i="1"/>
  <c r="AR7" i="1"/>
  <c r="AQ7" i="1"/>
  <c r="C49" i="11"/>
  <c r="C51" i="11" s="1"/>
  <c r="C22" i="11"/>
  <c r="C31" i="11" s="1"/>
  <c r="L63" i="40"/>
  <c r="K65" i="40"/>
  <c r="G34" i="43"/>
  <c r="I34" i="43" s="1"/>
  <c r="E34" i="43"/>
  <c r="G33" i="43"/>
  <c r="I33" i="43" s="1"/>
  <c r="E33" i="43"/>
  <c r="G39" i="43"/>
  <c r="I39" i="43" s="1"/>
  <c r="E39" i="43"/>
  <c r="E38" i="43"/>
  <c r="G38" i="43"/>
  <c r="I38" i="43" s="1"/>
  <c r="E29" i="43"/>
  <c r="C26" i="43" s="1"/>
  <c r="C30" i="43"/>
  <c r="E30" i="43" s="1"/>
  <c r="G36" i="43"/>
  <c r="I36" i="43" s="1"/>
  <c r="E36" i="43"/>
  <c r="G35" i="43"/>
  <c r="I35" i="43" s="1"/>
  <c r="E35" i="43"/>
  <c r="G37" i="43"/>
  <c r="I37" i="43" s="1"/>
  <c r="E37" i="43"/>
  <c r="D31" i="6"/>
  <c r="I5" i="6" s="1"/>
  <c r="AA38" i="39"/>
  <c r="S38" i="39"/>
  <c r="AB38" i="39"/>
  <c r="U38" i="39"/>
  <c r="W38" i="39"/>
  <c r="AC38" i="39"/>
  <c r="C27" i="12"/>
  <c r="C25" i="12" s="1"/>
  <c r="C32" i="12" s="1"/>
  <c r="B2" i="12" s="1"/>
  <c r="B3" i="12" s="1"/>
  <c r="C20" i="69"/>
  <c r="C28" i="69" s="1"/>
  <c r="C27" i="69" s="1"/>
  <c r="C24" i="69"/>
  <c r="C24" i="68"/>
  <c r="C39" i="69"/>
  <c r="C42" i="69"/>
  <c r="C39" i="68"/>
  <c r="C43" i="68" s="1"/>
  <c r="C42" i="68"/>
  <c r="J68" i="39"/>
  <c r="I70" i="39"/>
  <c r="I52" i="21"/>
  <c r="J52" i="21" s="1"/>
  <c r="AB7" i="21"/>
  <c r="T48" i="21" s="1"/>
  <c r="G48" i="21" s="1"/>
  <c r="U7" i="21"/>
  <c r="S7" i="21"/>
  <c r="AA7" i="21"/>
  <c r="R48" i="21" s="1"/>
  <c r="F35" i="79"/>
  <c r="C34" i="84"/>
  <c r="C14" i="15"/>
  <c r="C34" i="83"/>
  <c r="C14" i="79"/>
  <c r="M21" i="79"/>
  <c r="C19" i="67" l="1"/>
  <c r="C20" i="67" s="1"/>
  <c r="C26" i="67" s="1"/>
  <c r="E2" i="70"/>
  <c r="C38" i="83"/>
  <c r="C35" i="83"/>
  <c r="C33" i="83" s="1"/>
  <c r="C18" i="15"/>
  <c r="C15" i="15"/>
  <c r="F63" i="79"/>
  <c r="C62" i="79" s="1"/>
  <c r="C34" i="79"/>
  <c r="C31" i="79" s="1"/>
  <c r="J20" i="79"/>
  <c r="C15" i="79"/>
  <c r="C18" i="79"/>
  <c r="C38" i="84"/>
  <c r="C35" i="84"/>
  <c r="T16" i="1"/>
  <c r="I27" i="6"/>
  <c r="S19" i="6"/>
  <c r="S27" i="6" s="1"/>
  <c r="H19" i="6"/>
  <c r="D37" i="84"/>
  <c r="C37" i="84" s="1"/>
  <c r="C19" i="84"/>
  <c r="C24" i="84" s="1"/>
  <c r="C19" i="83"/>
  <c r="C24" i="83" s="1"/>
  <c r="D37" i="83"/>
  <c r="C37" i="83" s="1"/>
  <c r="C52" i="11"/>
  <c r="B2" i="11" s="1"/>
  <c r="B3" i="11" s="1"/>
  <c r="C27" i="43"/>
  <c r="M63" i="40"/>
  <c r="L65" i="40"/>
  <c r="B2" i="43"/>
  <c r="I6" i="6"/>
  <c r="C11" i="39" s="1"/>
  <c r="C41" i="68"/>
  <c r="C46" i="68"/>
  <c r="C45" i="68" s="1"/>
  <c r="C25" i="69"/>
  <c r="C22" i="69" s="1"/>
  <c r="C31" i="69" s="1"/>
  <c r="C46" i="69"/>
  <c r="C45" i="69" s="1"/>
  <c r="C43" i="69"/>
  <c r="C41" i="69" s="1"/>
  <c r="R49" i="21"/>
  <c r="E48" i="21"/>
  <c r="G52" i="21"/>
  <c r="H52" i="21" s="1"/>
  <c r="G53" i="21"/>
  <c r="H53" i="21" s="1"/>
  <c r="K68" i="39"/>
  <c r="J70" i="39"/>
  <c r="B6" i="76"/>
  <c r="E6" i="76"/>
  <c r="C19" i="15" l="1"/>
  <c r="C20" i="15" s="1"/>
  <c r="C26" i="15" s="1"/>
  <c r="C23" i="67"/>
  <c r="C29" i="67" s="1"/>
  <c r="C19" i="79"/>
  <c r="C20" i="79" s="1"/>
  <c r="C26" i="79" s="1"/>
  <c r="C33" i="84"/>
  <c r="C42" i="84" s="1"/>
  <c r="R19" i="6"/>
  <c r="H27" i="6"/>
  <c r="C39" i="83"/>
  <c r="C46" i="83" s="1"/>
  <c r="C45" i="83" s="1"/>
  <c r="C42" i="83"/>
  <c r="C56" i="11"/>
  <c r="C57" i="11" s="1"/>
  <c r="B2" i="76"/>
  <c r="E2" i="76"/>
  <c r="B3" i="43"/>
  <c r="N63" i="40"/>
  <c r="M65" i="40"/>
  <c r="H11" i="39"/>
  <c r="F11" i="39"/>
  <c r="J11" i="39"/>
  <c r="J59" i="15"/>
  <c r="J60" i="15" s="1"/>
  <c r="Q48" i="15" s="1"/>
  <c r="C49" i="68"/>
  <c r="C51" i="68" s="1"/>
  <c r="C49" i="69"/>
  <c r="C51" i="69" s="1"/>
  <c r="C52" i="69" s="1"/>
  <c r="B2" i="69" s="1"/>
  <c r="B3" i="69" s="1"/>
  <c r="L68" i="39"/>
  <c r="K70" i="39"/>
  <c r="E52" i="21"/>
  <c r="F52" i="21" s="1"/>
  <c r="E53" i="21"/>
  <c r="F53" i="21" s="1"/>
  <c r="I53" i="21"/>
  <c r="J53" i="21" s="1"/>
  <c r="C48" i="21"/>
  <c r="C49" i="21"/>
  <c r="B2" i="21" s="1"/>
  <c r="B3" i="21" s="1"/>
  <c r="C39" i="84" l="1"/>
  <c r="C43" i="84" s="1"/>
  <c r="C41" i="84" s="1"/>
  <c r="C23" i="79"/>
  <c r="C29" i="79" s="1"/>
  <c r="J14" i="79" s="1"/>
  <c r="J22" i="79" s="1"/>
  <c r="J59" i="67"/>
  <c r="J60" i="67" s="1"/>
  <c r="Q48" i="67" s="1"/>
  <c r="C57" i="67"/>
  <c r="C36" i="67"/>
  <c r="C13" i="67"/>
  <c r="C33" i="67"/>
  <c r="J19" i="67"/>
  <c r="J14" i="67"/>
  <c r="Q49" i="67"/>
  <c r="C23" i="15"/>
  <c r="C29" i="15" s="1"/>
  <c r="C43" i="83"/>
  <c r="C41" i="83" s="1"/>
  <c r="C49" i="83" s="1"/>
  <c r="C51" i="83" s="1"/>
  <c r="R27" i="6"/>
  <c r="R6" i="1"/>
  <c r="B3" i="76"/>
  <c r="N65" i="40"/>
  <c r="O63" i="40"/>
  <c r="O65" i="40" s="1"/>
  <c r="J7" i="40"/>
  <c r="AC11" i="39"/>
  <c r="W11" i="39"/>
  <c r="AB11" i="39"/>
  <c r="U11" i="39"/>
  <c r="AA11" i="39"/>
  <c r="S11" i="39"/>
  <c r="L57" i="15"/>
  <c r="L60" i="15" s="1"/>
  <c r="C57" i="69"/>
  <c r="C56" i="69" s="1"/>
  <c r="M68" i="39"/>
  <c r="L70" i="39"/>
  <c r="F35" i="15"/>
  <c r="F35" i="67"/>
  <c r="M21" i="15"/>
  <c r="M21" i="67"/>
  <c r="C46" i="84" l="1"/>
  <c r="C45" i="84" s="1"/>
  <c r="C49" i="84" s="1"/>
  <c r="C51" i="84" s="1"/>
  <c r="J19" i="79"/>
  <c r="J17" i="79" s="1"/>
  <c r="C13" i="79"/>
  <c r="C56" i="79" s="1"/>
  <c r="C65" i="79" s="1"/>
  <c r="Q49" i="79"/>
  <c r="J20" i="67"/>
  <c r="J17" i="67" s="1"/>
  <c r="F63" i="67"/>
  <c r="C62" i="67" s="1"/>
  <c r="C34" i="67"/>
  <c r="C31" i="67" s="1"/>
  <c r="J22" i="67"/>
  <c r="J13" i="67"/>
  <c r="J23" i="67" s="1"/>
  <c r="C37" i="67"/>
  <c r="Q70" i="67"/>
  <c r="C75" i="67"/>
  <c r="C56" i="67"/>
  <c r="C65" i="67" s="1"/>
  <c r="C61" i="67"/>
  <c r="C59" i="67" s="1"/>
  <c r="C64" i="67"/>
  <c r="C57" i="79"/>
  <c r="C36" i="79"/>
  <c r="J13" i="79"/>
  <c r="J23" i="79" s="1"/>
  <c r="C13" i="15"/>
  <c r="Q49" i="15"/>
  <c r="J19" i="15"/>
  <c r="C57" i="15"/>
  <c r="J14" i="15"/>
  <c r="C36" i="15"/>
  <c r="J20" i="15"/>
  <c r="C34" i="15"/>
  <c r="C31" i="15" s="1"/>
  <c r="F63" i="15"/>
  <c r="C62" i="15" s="1"/>
  <c r="R16" i="1"/>
  <c r="F7" i="40"/>
  <c r="H7" i="40"/>
  <c r="AC7" i="40"/>
  <c r="V42" i="40" s="1"/>
  <c r="I42" i="40" s="1"/>
  <c r="W7" i="40"/>
  <c r="L46" i="15"/>
  <c r="Q57" i="15"/>
  <c r="Q66" i="15"/>
  <c r="N68" i="39"/>
  <c r="M70" i="39"/>
  <c r="J17" i="15" l="1"/>
  <c r="J16" i="79"/>
  <c r="J25" i="79" s="1"/>
  <c r="Q70" i="79"/>
  <c r="C75" i="79"/>
  <c r="C37" i="79"/>
  <c r="C30" i="79" s="1"/>
  <c r="C39" i="79" s="1"/>
  <c r="C30" i="67"/>
  <c r="C39" i="67" s="1"/>
  <c r="C64" i="79"/>
  <c r="C61" i="79"/>
  <c r="C59" i="79" s="1"/>
  <c r="C58" i="67"/>
  <c r="C67" i="67" s="1"/>
  <c r="C68" i="67" s="1"/>
  <c r="C71" i="67" s="1"/>
  <c r="Q69" i="67"/>
  <c r="Q68" i="67" s="1"/>
  <c r="J16" i="67"/>
  <c r="J25" i="67" s="1"/>
  <c r="C61" i="15"/>
  <c r="C59" i="15" s="1"/>
  <c r="C64" i="15"/>
  <c r="J13" i="15"/>
  <c r="J23" i="15" s="1"/>
  <c r="J22" i="15"/>
  <c r="C56" i="15"/>
  <c r="C65" i="15" s="1"/>
  <c r="C37" i="15"/>
  <c r="C30" i="15" s="1"/>
  <c r="C39" i="15" s="1"/>
  <c r="Q70" i="15"/>
  <c r="C75" i="15"/>
  <c r="U7" i="40"/>
  <c r="AB7" i="40"/>
  <c r="T42" i="40" s="1"/>
  <c r="G42" i="40" s="1"/>
  <c r="I46" i="40"/>
  <c r="J46" i="40" s="1"/>
  <c r="S7" i="40"/>
  <c r="AA7" i="40"/>
  <c r="R42" i="40" s="1"/>
  <c r="O68" i="39"/>
  <c r="O70" i="39" s="1"/>
  <c r="N70" i="39"/>
  <c r="L51" i="15"/>
  <c r="L51" i="79"/>
  <c r="L51" i="67"/>
  <c r="C58" i="79" l="1"/>
  <c r="C67" i="79" s="1"/>
  <c r="C68" i="79" s="1"/>
  <c r="C71" i="79" s="1"/>
  <c r="Q67" i="79"/>
  <c r="Q69" i="79"/>
  <c r="Q68" i="79" s="1"/>
  <c r="C80" i="79"/>
  <c r="C79" i="79" s="1"/>
  <c r="C40" i="79"/>
  <c r="B2" i="79" s="1"/>
  <c r="B3" i="79" s="1"/>
  <c r="L57" i="67"/>
  <c r="L60" i="67" s="1"/>
  <c r="Q66" i="67" s="1"/>
  <c r="Q67" i="67"/>
  <c r="C80" i="67"/>
  <c r="C79" i="67" s="1"/>
  <c r="C40" i="67"/>
  <c r="C80" i="15"/>
  <c r="C79" i="15" s="1"/>
  <c r="J16" i="15"/>
  <c r="J25" i="15" s="1"/>
  <c r="Q67" i="15"/>
  <c r="C40" i="15"/>
  <c r="Q56" i="15" s="1"/>
  <c r="Q62" i="15" s="1"/>
  <c r="Q69" i="15"/>
  <c r="Q68" i="15" s="1"/>
  <c r="C58" i="15"/>
  <c r="C67" i="15" s="1"/>
  <c r="C68" i="15" s="1"/>
  <c r="C71" i="15" s="1"/>
  <c r="E42" i="40"/>
  <c r="R43" i="40"/>
  <c r="G46" i="40"/>
  <c r="H46" i="40" s="1"/>
  <c r="G47" i="40"/>
  <c r="H47" i="40" s="1"/>
  <c r="J7" i="39"/>
  <c r="F7" i="39"/>
  <c r="H7" i="39"/>
  <c r="AO7" i="1"/>
  <c r="C83" i="79" l="1"/>
  <c r="C82" i="79" s="1"/>
  <c r="C46" i="79"/>
  <c r="Q65" i="79"/>
  <c r="Q75" i="79" s="1"/>
  <c r="Q56" i="79"/>
  <c r="Q62" i="79" s="1"/>
  <c r="Q47" i="79"/>
  <c r="Q53" i="79" s="1"/>
  <c r="C43" i="79"/>
  <c r="B7" i="70"/>
  <c r="L46" i="67"/>
  <c r="D2" i="67" s="1"/>
  <c r="B2" i="67" s="1"/>
  <c r="Q57" i="67"/>
  <c r="C45" i="67"/>
  <c r="C46" i="67" s="1"/>
  <c r="Q47" i="67"/>
  <c r="Q53" i="67" s="1"/>
  <c r="C43" i="67"/>
  <c r="C83" i="67"/>
  <c r="C82" i="67" s="1"/>
  <c r="Q65" i="67"/>
  <c r="Q75" i="67" s="1"/>
  <c r="Q56" i="67"/>
  <c r="B3" i="67"/>
  <c r="Q47" i="15"/>
  <c r="Q53" i="15" s="1"/>
  <c r="C46" i="15"/>
  <c r="C83" i="15"/>
  <c r="C82" i="15" s="1"/>
  <c r="B2" i="15"/>
  <c r="B3" i="15" s="1"/>
  <c r="Q65" i="15"/>
  <c r="Q75" i="15" s="1"/>
  <c r="C43" i="15"/>
  <c r="C43" i="40"/>
  <c r="C42" i="40"/>
  <c r="E46" i="40"/>
  <c r="F46" i="40" s="1"/>
  <c r="E47" i="40"/>
  <c r="F47" i="40" s="1"/>
  <c r="I47" i="40"/>
  <c r="J47" i="40" s="1"/>
  <c r="AC7" i="39"/>
  <c r="V47" i="39" s="1"/>
  <c r="I47" i="39" s="1"/>
  <c r="W7" i="39"/>
  <c r="S7" i="39"/>
  <c r="AA7" i="39"/>
  <c r="R47" i="39" s="1"/>
  <c r="AB7" i="39"/>
  <c r="T47" i="39" s="1"/>
  <c r="G47" i="39" s="1"/>
  <c r="U7" i="39"/>
  <c r="AO6" i="1"/>
  <c r="Q62" i="67" l="1"/>
  <c r="B6" i="70"/>
  <c r="B2" i="70"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G52" i="39"/>
  <c r="H52" i="39" s="1"/>
  <c r="G51" i="39"/>
  <c r="H51" i="39" s="1"/>
  <c r="I51" i="39"/>
  <c r="J51" i="39" s="1"/>
  <c r="E47" i="39"/>
  <c r="R48" i="39"/>
  <c r="D19" i="9"/>
  <c r="D102" i="9" l="1"/>
  <c r="D21" i="9"/>
  <c r="B3" i="70"/>
  <c r="E51" i="39"/>
  <c r="F51" i="39" s="1"/>
  <c r="E52" i="39"/>
  <c r="F52" i="39" s="1"/>
  <c r="C48" i="39"/>
  <c r="C47" i="39"/>
  <c r="I52" i="39"/>
  <c r="J52" i="39" s="1"/>
  <c r="D20" i="9"/>
  <c r="D103" i="9" l="1"/>
  <c r="C6" i="84"/>
  <c r="C7" i="84" s="1"/>
  <c r="C5" i="84" s="1"/>
  <c r="C6" i="83"/>
  <c r="B60" i="39"/>
  <c r="F60" i="39" s="1"/>
  <c r="B58" i="39"/>
  <c r="F58" i="39" s="1"/>
  <c r="B64" i="39"/>
  <c r="F64" i="39" s="1"/>
  <c r="B57" i="39"/>
  <c r="F57" i="39" s="1"/>
  <c r="B62" i="39"/>
  <c r="F62" i="39" s="1"/>
  <c r="B61" i="39"/>
  <c r="F61" i="39" s="1"/>
  <c r="B56" i="39"/>
  <c r="F56" i="39" s="1"/>
  <c r="F66" i="39" s="1"/>
  <c r="B2" i="39" s="1"/>
  <c r="B59" i="39"/>
  <c r="F59" i="39" s="1"/>
  <c r="B65" i="39"/>
  <c r="F65" i="39" s="1"/>
  <c r="B63" i="39"/>
  <c r="F63" i="39" s="1"/>
  <c r="C7" i="83" l="1"/>
  <c r="C5" i="83" s="1"/>
  <c r="C20" i="84"/>
  <c r="C25" i="84" s="1"/>
  <c r="C23" i="84"/>
  <c r="B3" i="39"/>
  <c r="C6" i="68"/>
  <c r="C7" i="68" s="1"/>
  <c r="C5" i="68" s="1"/>
  <c r="C22" i="84" l="1"/>
  <c r="C20" i="83"/>
  <c r="C23" i="83"/>
  <c r="C28" i="84"/>
  <c r="C27" i="84" s="1"/>
  <c r="C23" i="68"/>
  <c r="C20" i="68"/>
  <c r="C25" i="68" s="1"/>
  <c r="C31" i="84" l="1"/>
  <c r="C52" i="84" s="1"/>
  <c r="B2" i="84" s="1"/>
  <c r="C28" i="83"/>
  <c r="C27" i="83" s="1"/>
  <c r="C25" i="83"/>
  <c r="C22" i="83" s="1"/>
  <c r="C28" i="68"/>
  <c r="C27" i="68" s="1"/>
  <c r="C22" i="68"/>
  <c r="B3" i="84"/>
  <c r="C57" i="84" l="1"/>
  <c r="C56" i="84" s="1"/>
  <c r="C31" i="83"/>
  <c r="C52" i="83" s="1"/>
  <c r="B2" i="83" s="1"/>
  <c r="C31" i="68"/>
  <c r="C52" i="68" s="1"/>
  <c r="C57" i="68" s="1"/>
  <c r="C56" i="68" s="1"/>
  <c r="B3" i="83"/>
  <c r="C57" i="83" l="1"/>
  <c r="C56" i="83" s="1"/>
  <c r="B2" i="68"/>
  <c r="C19" i="9"/>
  <c r="C21" i="9" l="1"/>
  <c r="G19" i="9"/>
  <c r="C32" i="9" s="1"/>
  <c r="C102" i="9"/>
  <c r="D22" i="9"/>
  <c r="B3" i="68"/>
  <c r="D35" i="9"/>
  <c r="C20" i="9"/>
  <c r="D34" i="9"/>
  <c r="G21" i="9" l="1"/>
  <c r="G20" i="9"/>
  <c r="F35" i="6" s="1"/>
  <c r="H35" i="6" s="1"/>
  <c r="H36" i="6" s="1"/>
  <c r="C103" i="9"/>
  <c r="H118" i="9"/>
  <c r="C35" i="9"/>
  <c r="F118" i="9" s="1"/>
  <c r="M4" i="86" l="1"/>
  <c r="N6" i="86" s="1"/>
  <c r="M4" i="87"/>
  <c r="C34" i="9"/>
  <c r="D118" i="9" s="1"/>
  <c r="D4" i="52" s="1"/>
  <c r="B47" i="72" s="1"/>
  <c r="I118" i="9"/>
  <c r="H4" i="52"/>
  <c r="H119" i="9"/>
  <c r="H5" i="52" s="1"/>
  <c r="H101" i="9"/>
  <c r="D14" i="74"/>
  <c r="C104" i="9"/>
  <c r="G118" i="9"/>
  <c r="G4" i="52" s="1"/>
  <c r="B52" i="72" s="1"/>
  <c r="F4" i="52"/>
  <c r="B51" i="72" s="1"/>
  <c r="F119" i="9"/>
  <c r="F5" i="52" s="1"/>
  <c r="B53" i="72" s="1"/>
  <c r="N4" i="86" l="1"/>
  <c r="N218" i="86"/>
  <c r="N198" i="86"/>
  <c r="N228" i="86"/>
  <c r="N210" i="86"/>
  <c r="N178" i="86"/>
  <c r="N222" i="86"/>
  <c r="N214" i="86"/>
  <c r="N206" i="86"/>
  <c r="N190" i="86"/>
  <c r="N149" i="86"/>
  <c r="N226" i="86"/>
  <c r="N220" i="86"/>
  <c r="N216" i="86"/>
  <c r="N212" i="86"/>
  <c r="N208" i="86"/>
  <c r="N202" i="86"/>
  <c r="N194" i="86"/>
  <c r="N184" i="86"/>
  <c r="N165" i="86"/>
  <c r="N133" i="86"/>
  <c r="N204" i="86"/>
  <c r="N200" i="86"/>
  <c r="N196" i="86"/>
  <c r="N192" i="86"/>
  <c r="N188" i="86"/>
  <c r="N182" i="86"/>
  <c r="N173" i="86"/>
  <c r="N157" i="86"/>
  <c r="N141" i="86"/>
  <c r="N121" i="86"/>
  <c r="N180" i="86"/>
  <c r="N176" i="86"/>
  <c r="N169" i="86"/>
  <c r="N161" i="86"/>
  <c r="N153" i="86"/>
  <c r="N145" i="86"/>
  <c r="N137" i="86"/>
  <c r="N129" i="86"/>
  <c r="N105" i="86"/>
  <c r="N113" i="86"/>
  <c r="N97" i="86"/>
  <c r="N89" i="86"/>
  <c r="N81" i="86"/>
  <c r="N125" i="86"/>
  <c r="N117" i="86"/>
  <c r="N109" i="86"/>
  <c r="N101" i="86"/>
  <c r="N93" i="86"/>
  <c r="N85" i="86"/>
  <c r="N73" i="86"/>
  <c r="N65" i="86"/>
  <c r="N57" i="86"/>
  <c r="N77" i="86"/>
  <c r="N69" i="86"/>
  <c r="N61" i="86"/>
  <c r="N49" i="86"/>
  <c r="N41" i="86"/>
  <c r="N25" i="86"/>
  <c r="N33" i="86"/>
  <c r="N5" i="86"/>
  <c r="N53" i="86"/>
  <c r="N45" i="86"/>
  <c r="N37" i="86"/>
  <c r="N29" i="86"/>
  <c r="N17" i="86"/>
  <c r="N221" i="86"/>
  <c r="N209" i="86"/>
  <c r="N21" i="86"/>
  <c r="N13" i="86"/>
  <c r="N225" i="86"/>
  <c r="N217" i="86"/>
  <c r="N195" i="86"/>
  <c r="N9" i="86"/>
  <c r="N227" i="86"/>
  <c r="N223" i="86"/>
  <c r="N219" i="86"/>
  <c r="N213" i="86"/>
  <c r="N203" i="86"/>
  <c r="N187" i="86"/>
  <c r="N171" i="86"/>
  <c r="N215" i="86"/>
  <c r="N211" i="86"/>
  <c r="N207" i="86"/>
  <c r="N199" i="86"/>
  <c r="N191" i="86"/>
  <c r="N181" i="86"/>
  <c r="N155" i="86"/>
  <c r="N205" i="86"/>
  <c r="N201" i="86"/>
  <c r="N197" i="86"/>
  <c r="N193" i="86"/>
  <c r="N189" i="86"/>
  <c r="N185" i="86"/>
  <c r="N177" i="86"/>
  <c r="N163" i="86"/>
  <c r="N147" i="86"/>
  <c r="N139" i="86"/>
  <c r="N183" i="86"/>
  <c r="N179" i="86"/>
  <c r="N175" i="86"/>
  <c r="N167" i="86"/>
  <c r="N159" i="86"/>
  <c r="N151" i="86"/>
  <c r="N143" i="86"/>
  <c r="N135" i="86"/>
  <c r="N123" i="86"/>
  <c r="N103" i="86"/>
  <c r="N131" i="86"/>
  <c r="N115" i="86"/>
  <c r="N87" i="86"/>
  <c r="N63" i="86"/>
  <c r="N127" i="86"/>
  <c r="N119" i="86"/>
  <c r="N111" i="86"/>
  <c r="N95" i="86"/>
  <c r="N79" i="86"/>
  <c r="N47" i="86"/>
  <c r="N107" i="86"/>
  <c r="N99" i="86"/>
  <c r="N91" i="86"/>
  <c r="N83" i="86"/>
  <c r="N71" i="86"/>
  <c r="N55" i="86"/>
  <c r="N35" i="86"/>
  <c r="N75" i="86"/>
  <c r="N67" i="86"/>
  <c r="N59" i="86"/>
  <c r="N51" i="86"/>
  <c r="N43" i="86"/>
  <c r="N19" i="86"/>
  <c r="N27" i="86"/>
  <c r="N7" i="86"/>
  <c r="N39" i="86"/>
  <c r="N31" i="86"/>
  <c r="N23" i="86"/>
  <c r="N15" i="86"/>
  <c r="N186" i="86"/>
  <c r="N170" i="86"/>
  <c r="N11" i="86"/>
  <c r="N224" i="86"/>
  <c r="N174" i="86"/>
  <c r="N166" i="86"/>
  <c r="N156" i="86"/>
  <c r="N172" i="86"/>
  <c r="N168" i="86"/>
  <c r="N164" i="86"/>
  <c r="N146" i="86"/>
  <c r="N160" i="86"/>
  <c r="N152" i="86"/>
  <c r="N130" i="86"/>
  <c r="N138" i="86"/>
  <c r="N114" i="86"/>
  <c r="N98" i="86"/>
  <c r="N162" i="86"/>
  <c r="N158" i="86"/>
  <c r="N154" i="86"/>
  <c r="N150" i="86"/>
  <c r="N142" i="86"/>
  <c r="N134" i="86"/>
  <c r="N122" i="86"/>
  <c r="N106" i="86"/>
  <c r="N88" i="86"/>
  <c r="N126" i="86"/>
  <c r="N118" i="86"/>
  <c r="N110" i="86"/>
  <c r="N102" i="86"/>
  <c r="N94" i="86"/>
  <c r="N80" i="86"/>
  <c r="N72" i="86"/>
  <c r="N148" i="86"/>
  <c r="N144" i="86"/>
  <c r="N140" i="86"/>
  <c r="N136" i="86"/>
  <c r="N132" i="86"/>
  <c r="N128" i="86"/>
  <c r="N124" i="86"/>
  <c r="N120" i="86"/>
  <c r="N116" i="86"/>
  <c r="N112" i="86"/>
  <c r="N108" i="86"/>
  <c r="N104" i="86"/>
  <c r="N100" i="86"/>
  <c r="N96" i="86"/>
  <c r="N92" i="86"/>
  <c r="N84" i="86"/>
  <c r="N76" i="86"/>
  <c r="N68" i="86"/>
  <c r="N62" i="86"/>
  <c r="N90" i="86"/>
  <c r="N86" i="86"/>
  <c r="N82" i="86"/>
  <c r="N78" i="86"/>
  <c r="N74" i="86"/>
  <c r="N70" i="86"/>
  <c r="N66" i="86"/>
  <c r="N58" i="86"/>
  <c r="N52" i="86"/>
  <c r="N40" i="86"/>
  <c r="N64" i="86"/>
  <c r="N60" i="86"/>
  <c r="N56" i="86"/>
  <c r="N48" i="86"/>
  <c r="N32" i="86"/>
  <c r="N54" i="86"/>
  <c r="N50" i="86"/>
  <c r="N44" i="86"/>
  <c r="N36" i="86"/>
  <c r="N26" i="86"/>
  <c r="N46" i="86"/>
  <c r="N42" i="86"/>
  <c r="N38" i="86"/>
  <c r="N34" i="86"/>
  <c r="N30" i="86"/>
  <c r="N18" i="86"/>
  <c r="N28" i="86"/>
  <c r="N22" i="86"/>
  <c r="N12" i="86"/>
  <c r="N4" i="87"/>
  <c r="N6" i="87"/>
  <c r="N8" i="87"/>
  <c r="N10" i="87"/>
  <c r="N12" i="87"/>
  <c r="N14" i="87"/>
  <c r="N16" i="87"/>
  <c r="N18" i="87"/>
  <c r="N20" i="87"/>
  <c r="N22" i="87"/>
  <c r="N24" i="87"/>
  <c r="N26" i="87"/>
  <c r="N28" i="87"/>
  <c r="N30" i="87"/>
  <c r="N32" i="87"/>
  <c r="N34" i="87"/>
  <c r="N36" i="87"/>
  <c r="N38" i="87"/>
  <c r="N40" i="87"/>
  <c r="N42" i="87"/>
  <c r="N44" i="87"/>
  <c r="N46" i="87"/>
  <c r="N48" i="87"/>
  <c r="N50" i="87"/>
  <c r="N52" i="87"/>
  <c r="N54" i="87"/>
  <c r="N56" i="87"/>
  <c r="N58" i="87"/>
  <c r="N60" i="87"/>
  <c r="N62" i="87"/>
  <c r="N64" i="87"/>
  <c r="N66" i="87"/>
  <c r="N68" i="87"/>
  <c r="N70" i="87"/>
  <c r="N72" i="87"/>
  <c r="N74" i="87"/>
  <c r="N76" i="87"/>
  <c r="N78" i="87"/>
  <c r="N80" i="87"/>
  <c r="N82" i="87"/>
  <c r="N84" i="87"/>
  <c r="N86" i="87"/>
  <c r="N88" i="87"/>
  <c r="N90" i="87"/>
  <c r="N92" i="87"/>
  <c r="N94" i="87"/>
  <c r="N96" i="87"/>
  <c r="N98" i="87"/>
  <c r="N100" i="87"/>
  <c r="N102" i="87"/>
  <c r="N104" i="87"/>
  <c r="N106" i="87"/>
  <c r="N108" i="87"/>
  <c r="N110" i="87"/>
  <c r="N112" i="87"/>
  <c r="N114" i="87"/>
  <c r="N116" i="87"/>
  <c r="N118" i="87"/>
  <c r="N120" i="87"/>
  <c r="N122" i="87"/>
  <c r="N5" i="87"/>
  <c r="N7" i="87"/>
  <c r="N9" i="87"/>
  <c r="N11" i="87"/>
  <c r="N13" i="87"/>
  <c r="N15" i="87"/>
  <c r="N17" i="87"/>
  <c r="N19" i="87"/>
  <c r="N21" i="87"/>
  <c r="N23" i="87"/>
  <c r="N25" i="87"/>
  <c r="N27" i="87"/>
  <c r="N29" i="87"/>
  <c r="N31" i="87"/>
  <c r="N33" i="87"/>
  <c r="N35" i="87"/>
  <c r="N37" i="87"/>
  <c r="N39" i="87"/>
  <c r="N41" i="87"/>
  <c r="N43" i="87"/>
  <c r="N45" i="87"/>
  <c r="N47" i="87"/>
  <c r="N49" i="87"/>
  <c r="N51" i="87"/>
  <c r="N53" i="87"/>
  <c r="N55" i="87"/>
  <c r="N59" i="87"/>
  <c r="N63" i="87"/>
  <c r="N67" i="87"/>
  <c r="N71" i="87"/>
  <c r="N75" i="87"/>
  <c r="N79" i="87"/>
  <c r="N83" i="87"/>
  <c r="N87" i="87"/>
  <c r="N91" i="87"/>
  <c r="N95" i="87"/>
  <c r="N99" i="87"/>
  <c r="N103" i="87"/>
  <c r="N107" i="87"/>
  <c r="N111" i="87"/>
  <c r="N115" i="87"/>
  <c r="N119" i="87"/>
  <c r="N57" i="87"/>
  <c r="N61" i="87"/>
  <c r="N65" i="87"/>
  <c r="N69" i="87"/>
  <c r="N73" i="87"/>
  <c r="N77" i="87"/>
  <c r="N81" i="87"/>
  <c r="N85" i="87"/>
  <c r="N89" i="87"/>
  <c r="N93" i="87"/>
  <c r="N97" i="87"/>
  <c r="N101" i="87"/>
  <c r="N105" i="87"/>
  <c r="N109" i="87"/>
  <c r="N113" i="87"/>
  <c r="N117" i="87"/>
  <c r="N121" i="87"/>
  <c r="N24" i="86"/>
  <c r="N20" i="86"/>
  <c r="N16" i="86"/>
  <c r="N8" i="86"/>
  <c r="N14" i="86"/>
  <c r="N10" i="86"/>
  <c r="D119" i="9"/>
  <c r="D5" i="52" s="1"/>
  <c r="B49" i="72" s="1"/>
  <c r="E14" i="74"/>
  <c r="F14" i="74"/>
  <c r="C105" i="9"/>
  <c r="I4" i="52"/>
  <c r="H102" i="9"/>
  <c r="D7" i="53" s="1"/>
  <c r="B21" i="72" s="1"/>
  <c r="E118" i="9"/>
  <c r="E4" i="52" s="1"/>
  <c r="B48" i="72" s="1"/>
  <c r="D5" i="53"/>
  <c r="M48" i="9"/>
  <c r="H107" i="9"/>
  <c r="D45" i="9"/>
  <c r="N123" i="87" l="1"/>
  <c r="J10" i="85" s="1"/>
  <c r="N229" i="86"/>
  <c r="J8" i="85" s="1"/>
  <c r="D55" i="9"/>
  <c r="M53" i="9" s="1"/>
  <c r="C64" i="9"/>
  <c r="C63" i="9" s="1"/>
  <c r="C67" i="9" s="1"/>
  <c r="C68" i="9" s="1"/>
  <c r="D54" i="9" s="1"/>
  <c r="C93" i="9"/>
  <c r="C86" i="9" s="1"/>
  <c r="D53" i="9"/>
  <c r="D52" i="9"/>
  <c r="C72" i="9"/>
  <c r="C78" i="9"/>
  <c r="C73" i="9" s="1"/>
  <c r="C85" i="9"/>
  <c r="M49" i="9"/>
  <c r="D13" i="53"/>
  <c r="D122" i="9"/>
  <c r="H108" i="9"/>
  <c r="D15" i="53" s="1"/>
  <c r="B31" i="72" s="1"/>
  <c r="B20" i="72"/>
  <c r="D6" i="53"/>
  <c r="B22" i="72" s="1"/>
  <c r="J11" i="85" l="1"/>
  <c r="L68" i="9"/>
  <c r="M68" i="9" s="1"/>
  <c r="L63" i="9"/>
  <c r="M63" i="9" s="1"/>
  <c r="L64" i="9"/>
  <c r="M64" i="9" s="1"/>
  <c r="L66" i="9"/>
  <c r="M66" i="9" s="1"/>
  <c r="L65" i="9"/>
  <c r="M65" i="9" s="1"/>
  <c r="L67" i="9"/>
  <c r="M67" i="9" s="1"/>
  <c r="B30" i="72"/>
  <c r="D14" i="53"/>
  <c r="B32" i="72" s="1"/>
  <c r="C95" i="9"/>
  <c r="C79" i="9"/>
  <c r="G14" i="74"/>
  <c r="D123" i="9"/>
  <c r="D9" i="52" s="1"/>
  <c r="D8" i="52"/>
  <c r="M69" i="9" l="1"/>
  <c r="N69" i="9" s="1"/>
  <c r="C96" i="9"/>
  <c r="E96" i="9" s="1"/>
  <c r="E97" i="9" s="1"/>
  <c r="C80" i="9"/>
  <c r="E80" i="9" s="1"/>
  <c r="E81" i="9" s="1"/>
  <c r="C81" i="9" l="1"/>
  <c r="C97" i="9"/>
  <c r="D58" i="9" s="1"/>
  <c r="D56" i="9" s="1"/>
  <c r="M54" i="9" s="1"/>
  <c r="N57" i="9" s="1"/>
  <c r="N58" i="9" s="1"/>
  <c r="P57" i="9" l="1"/>
  <c r="N59" i="9"/>
  <c r="N60" i="9" s="1"/>
  <c r="N61" i="9" l="1"/>
  <c r="F15" i="74" l="1"/>
  <c r="E15" i="74"/>
  <c r="B5" i="74"/>
  <c r="D5" i="74" l="1"/>
  <c r="C5" i="74"/>
  <c r="B6" i="74"/>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<sst xmlns="http://schemas.openxmlformats.org/spreadsheetml/2006/main" count="10930" uniqueCount="4498">
  <si>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</si>
  <si>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</si>
  <si>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</si>
  <si>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</si>
  <si>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</si>
  <si>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</si>
  <si>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</si>
  <si>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</si>
  <si>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</si>
  <si>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</si>
  <si>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</si>
  <si>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</si>
  <si>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</si>
  <si>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</si>
  <si>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</si>
  <si>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</si>
  <si>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</si>
  <si>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</si>
  <si>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</si>
  <si>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</si>
  <si>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</si>
  <si>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</si>
  <si>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</si>
  <si>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</si>
  <si>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</si>
  <si>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</si>
  <si>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</si>
  <si>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</si>
  <si>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</si>
  <si>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</si>
  <si>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</si>
  <si>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</si>
  <si>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</si>
  <si>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</si>
  <si>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</si>
  <si>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</si>
  <si>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</si>
  <si>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</si>
  <si>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</si>
  <si>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</si>
  <si>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</si>
  <si>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</si>
  <si>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</si>
  <si>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</si>
  <si>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</si>
  <si>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</si>
  <si>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</si>
  <si>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</si>
  <si>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</si>
  <si>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</si>
  <si>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</si>
  <si>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</si>
  <si>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</si>
  <si>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</si>
  <si>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</si>
  <si>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</si>
  <si>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</si>
  <si>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</si>
  <si>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</si>
  <si>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</si>
  <si>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</si>
  <si>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</si>
  <si>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</si>
  <si>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</si>
  <si>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</si>
  <si>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</si>
  <si>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</si>
  <si>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</si>
  <si>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</si>
  <si>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</si>
  <si>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</si>
  <si>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</si>
  <si>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</si>
  <si>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</si>
  <si>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</si>
  <si>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</si>
  <si>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</si>
  <si>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</si>
  <si>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</si>
  <si>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</si>
  <si>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</si>
  <si>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</si>
  <si>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</si>
  <si>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</si>
  <si>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</si>
  <si>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</si>
  <si>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</si>
  <si>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</si>
  <si>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</si>
  <si>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</si>
  <si>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</si>
  <si>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</si>
  <si>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</si>
  <si>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</si>
  <si>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</si>
  <si>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</si>
  <si>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</si>
  <si>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</si>
  <si>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</si>
  <si>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</si>
  <si>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</si>
  <si>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</si>
  <si>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</si>
  <si>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</si>
  <si>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</si>
  <si>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</si>
  <si>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</si>
  <si>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</si>
  <si>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</si>
  <si>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</si>
  <si>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</si>
  <si>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</si>
  <si>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</si>
  <si>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</si>
  <si>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</si>
  <si>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</si>
  <si>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</si>
  <si>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</si>
  <si>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</si>
  <si>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</si>
  <si>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</si>
  <si>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</si>
  <si>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</si>
  <si>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</si>
  <si>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</si>
  <si>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</si>
  <si>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</si>
  <si>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</si>
  <si>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</si>
  <si>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</si>
  <si>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</si>
  <si>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</si>
  <si>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</si>
  <si>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</si>
  <si>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</si>
  <si>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</si>
  <si>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</si>
  <si>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</si>
  <si>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</si>
  <si>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</si>
  <si>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</si>
  <si>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</si>
  <si>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</si>
  <si>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</si>
  <si>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</si>
  <si>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</si>
  <si>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</si>
  <si>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</si>
  <si>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</si>
  <si>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</si>
  <si>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</si>
  <si>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</si>
  <si>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</si>
  <si>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</si>
  <si>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</si>
  <si>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</si>
  <si>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</si>
  <si>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</si>
  <si>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</si>
  <si>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</si>
  <si>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</si>
  <si>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</si>
  <si>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</si>
  <si>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</si>
  <si>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</si>
  <si>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</si>
  <si>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</si>
  <si>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</si>
  <si>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</si>
  <si>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</si>
  <si>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</si>
  <si>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</si>
  <si>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</si>
  <si>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</si>
  <si>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</si>
  <si>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</si>
  <si>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</si>
  <si>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</si>
  <si>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</si>
  <si>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</si>
  <si>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</si>
  <si>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</si>
  <si>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</si>
  <si>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</si>
  <si>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</si>
  <si>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</si>
  <si>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</si>
  <si>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</si>
  <si>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</si>
  <si>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</si>
  <si>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</si>
  <si>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</si>
  <si>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</si>
  <si>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</si>
  <si>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</si>
  <si>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</si>
  <si>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</si>
  <si>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</si>
  <si>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</si>
  <si>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</si>
  <si>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</si>
  <si>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</si>
  <si>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</si>
  <si>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</si>
  <si>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</si>
  <si>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</si>
  <si>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</si>
  <si>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</si>
  <si>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</si>
  <si>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</si>
  <si>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</si>
  <si>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</si>
  <si>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</si>
  <si>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</si>
  <si>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</si>
  <si>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</si>
  <si>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</si>
  <si>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</si>
  <si>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</si>
  <si>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</si>
  <si>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</si>
  <si>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</si>
  <si>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</si>
  <si>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</si>
  <si>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</si>
  <si>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</si>
  <si>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</si>
  <si>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</si>
  <si>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</si>
  <si>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</si>
  <si>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</si>
  <si>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</si>
  <si>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</si>
  <si>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</si>
  <si>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</si>
  <si>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</si>
  <si>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</si>
  <si>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</si>
  <si>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</si>
  <si>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</si>
  <si>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</si>
  <si>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</si>
  <si>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</si>
  <si>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</si>
  <si>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</si>
  <si>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</si>
  <si>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</si>
  <si>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</si>
  <si>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</si>
  <si>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</si>
  <si>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</si>
  <si>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</si>
  <si>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</si>
  <si>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</si>
  <si>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</si>
  <si>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</si>
  <si>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</si>
  <si>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</si>
  <si>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</si>
  <si>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</si>
  <si>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</si>
  <si>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</si>
  <si>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</si>
  <si>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</si>
  <si>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</si>
  <si>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</si>
  <si>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</si>
  <si>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</si>
  <si>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</si>
  <si>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</si>
  <si>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</si>
  <si>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</si>
  <si>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</si>
  <si>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</si>
  <si>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</si>
  <si>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</si>
  <si>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</si>
  <si>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</si>
  <si>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</si>
  <si>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</si>
  <si>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</si>
  <si>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</si>
  <si>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</si>
  <si>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</si>
  <si>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</si>
  <si>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</si>
  <si>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</si>
  <si>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</si>
  <si>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</si>
  <si>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</si>
  <si>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</si>
  <si>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</si>
  <si>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</si>
  <si>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</si>
  <si>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</si>
  <si>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</si>
  <si>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</si>
  <si>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</si>
  <si>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</si>
  <si>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</si>
  <si>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</si>
  <si>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</si>
  <si>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</si>
  <si>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</si>
  <si>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</si>
  <si>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</si>
  <si>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</si>
  <si>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</si>
  <si>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</si>
  <si>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</si>
  <si>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</si>
  <si>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</si>
  <si>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</si>
  <si>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</si>
  <si>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</si>
  <si>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</si>
  <si>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</si>
  <si>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</si>
  <si>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</si>
  <si>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</si>
  <si>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</si>
  <si>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</si>
  <si>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</si>
  <si>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</si>
  <si>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</si>
  <si>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</si>
  <si>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</si>
  <si>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</si>
  <si>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</si>
  <si>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</si>
  <si>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</si>
  <si>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</si>
  <si>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</si>
  <si>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</si>
  <si>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</si>
  <si>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</si>
  <si>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</si>
  <si>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</si>
  <si>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</si>
  <si>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</si>
  <si>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</si>
  <si>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</si>
  <si>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</si>
  <si>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</si>
  <si>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</si>
  <si>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</si>
  <si>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</si>
  <si>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</si>
  <si>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</si>
  <si>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</si>
  <si>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</si>
  <si>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</si>
  <si>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</si>
  <si>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</si>
  <si>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</si>
  <si>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</si>
  <si>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</si>
  <si>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</si>
  <si>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</si>
  <si>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</si>
  <si>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</si>
  <si>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</si>
  <si>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</si>
  <si>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</si>
  <si>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</si>
  <si>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</si>
  <si>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</si>
  <si>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</si>
  <si>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</si>
  <si>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</si>
  <si>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</si>
  <si>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</si>
  <si>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</si>
  <si>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</si>
  <si>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</si>
  <si>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</si>
  <si>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</si>
  <si>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</si>
  <si>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</si>
  <si>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</si>
  <si>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</si>
  <si>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</si>
  <si>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</si>
  <si>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</si>
  <si>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</si>
  <si>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</si>
  <si>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</si>
  <si>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</si>
  <si>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</si>
  <si>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</si>
  <si>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</si>
  <si>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</si>
  <si>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</si>
  <si>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</si>
  <si>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</si>
  <si>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</si>
  <si>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</si>
  <si>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</si>
  <si>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</si>
  <si>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</si>
  <si>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</si>
  <si>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</si>
  <si>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</si>
  <si>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</si>
  <si>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</si>
  <si>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</si>
  <si>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</si>
  <si>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</si>
  <si>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</si>
  <si>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</si>
  <si>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</si>
  <si>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</si>
  <si>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</si>
  <si>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</si>
  <si>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</si>
  <si>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</si>
  <si>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</si>
  <si>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</si>
  <si>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</si>
  <si>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</si>
  <si>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</si>
  <si>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</si>
  <si>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</si>
  <si>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</si>
  <si>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</si>
  <si>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</si>
  <si>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</si>
  <si>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</si>
  <si>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</si>
  <si>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</si>
  <si>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</si>
  <si>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</si>
  <si>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</si>
  <si>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</si>
  <si>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</si>
  <si>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</si>
  <si>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</si>
  <si>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</si>
  <si>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</si>
  <si>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</si>
  <si>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</si>
  <si>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</si>
  <si>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</si>
  <si>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</si>
  <si>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</si>
  <si>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</si>
  <si>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</si>
  <si>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</si>
  <si>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</si>
  <si>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</si>
  <si>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</si>
  <si>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</si>
  <si>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</si>
  <si>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</si>
  <si>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</si>
  <si>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</si>
  <si>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</si>
  <si>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</si>
  <si>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</si>
  <si>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</si>
  <si>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</si>
  <si>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</si>
  <si>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</si>
  <si>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</si>
  <si>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</si>
  <si>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</si>
  <si>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</si>
  <si>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</si>
  <si>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</si>
  <si>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</si>
  <si>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</si>
  <si>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</si>
  <si>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</si>
  <si>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</si>
  <si>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</si>
  <si>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</si>
  <si>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</si>
  <si>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</si>
  <si>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</si>
  <si>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</si>
  <si>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</si>
  <si>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</si>
  <si>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</si>
  <si>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</si>
  <si>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</si>
  <si>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</si>
  <si>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</si>
  <si>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</si>
  <si>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</si>
  <si>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</si>
  <si>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</si>
  <si>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</si>
  <si>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</si>
  <si>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</si>
  <si>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</si>
  <si>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</si>
  <si>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</si>
  <si>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</si>
  <si>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</si>
  <si>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</si>
  <si>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</si>
  <si>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</si>
  <si>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</si>
  <si>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</si>
  <si>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</si>
  <si>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</si>
  <si>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</si>
  <si>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</si>
  <si>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</si>
  <si>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</si>
  <si>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</si>
  <si>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</si>
  <si>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</si>
  <si>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</si>
  <si>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</si>
  <si>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</si>
  <si>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</si>
  <si>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</si>
  <si>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</si>
  <si>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</si>
  <si>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</si>
  <si>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</si>
  <si>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</si>
  <si>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</si>
  <si>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</si>
  <si>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</si>
  <si>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</si>
  <si>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</si>
  <si>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</si>
  <si>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</si>
  <si>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</si>
  <si>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</si>
  <si>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</si>
  <si>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</si>
  <si>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</si>
  <si>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</si>
  <si>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</si>
  <si>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</si>
  <si>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</si>
  <si>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</si>
  <si>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</si>
  <si>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</si>
  <si>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</si>
  <si>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</si>
  <si>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</si>
  <si>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</si>
  <si>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</si>
  <si>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</si>
  <si>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</si>
  <si>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</si>
  <si>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</si>
  <si>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</si>
  <si>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</si>
  <si>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</si>
  <si>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</si>
  <si>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</si>
  <si>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</si>
  <si>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</si>
  <si>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</si>
  <si>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</si>
  <si>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</si>
  <si>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</si>
  <si>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</si>
  <si>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</si>
  <si>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</si>
  <si>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</si>
  <si>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</si>
  <si>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</si>
  <si>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</si>
  <si>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</si>
  <si>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</si>
  <si>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</si>
  <si>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</si>
  <si>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</si>
  <si>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</si>
  <si>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</si>
  <si>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</si>
  <si>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</si>
  <si>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</si>
  <si>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</si>
  <si>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</si>
  <si>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</si>
  <si>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</si>
  <si>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</si>
  <si>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</si>
  <si>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</si>
  <si>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</si>
  <si>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</si>
  <si>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</si>
  <si>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</si>
  <si>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</si>
  <si>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</si>
  <si>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</si>
  <si>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</si>
  <si>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</si>
  <si>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</si>
  <si>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</si>
  <si>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</si>
  <si>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</si>
  <si>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</si>
  <si>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</si>
  <si>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</si>
  <si>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</si>
  <si>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</si>
  <si>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</si>
  <si>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</si>
  <si>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</si>
  <si>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</si>
  <si>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</si>
  <si>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</si>
  <si>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</si>
  <si>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</si>
  <si>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</si>
  <si>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</si>
  <si>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</si>
  <si>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</si>
  <si>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</si>
  <si>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</si>
  <si>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</si>
  <si>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</si>
  <si>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</si>
  <si>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</si>
  <si>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</si>
  <si>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</si>
  <si>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</si>
  <si>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</si>
  <si>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</si>
  <si>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</si>
  <si>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</si>
  <si>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</si>
  <si>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</si>
  <si>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</si>
  <si>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</si>
  <si>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</si>
  <si>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</si>
  <si>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</si>
  <si>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</si>
  <si>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</si>
  <si>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</si>
  <si>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</si>
  <si>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</si>
  <si>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</si>
  <si>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</si>
  <si>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</si>
  <si>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</si>
  <si>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</si>
  <si>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</si>
  <si>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</si>
  <si>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</si>
  <si>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</si>
  <si>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</si>
  <si>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</si>
  <si>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</si>
  <si>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</si>
  <si>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</si>
  <si>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</si>
  <si>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</si>
  <si>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</si>
  <si>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</si>
  <si>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</si>
  <si>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</si>
  <si>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</si>
  <si>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</si>
  <si>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</si>
  <si>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</si>
  <si>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</si>
  <si>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</si>
  <si>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</si>
  <si>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</si>
  <si>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</si>
  <si>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</si>
  <si>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</si>
  <si>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</si>
  <si>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</si>
  <si>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</si>
  <si>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</si>
  <si>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</si>
  <si>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</si>
  <si>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</si>
  <si>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</si>
  <si>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</si>
  <si>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</si>
  <si>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</si>
  <si>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</si>
  <si>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</si>
  <si>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</si>
  <si>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</si>
  <si>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</si>
  <si>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</si>
  <si>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</si>
  <si>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</si>
  <si>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</si>
  <si>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</si>
  <si>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</si>
  <si>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</si>
  <si>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</si>
  <si>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</si>
  <si>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</si>
  <si>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</si>
  <si>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</si>
  <si>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</si>
  <si>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</si>
  <si>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</si>
  <si>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</si>
  <si>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</si>
  <si>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</si>
  <si>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</si>
  <si>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</si>
  <si>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</si>
  <si>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</si>
  <si>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</si>
  <si>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</si>
  <si>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</si>
  <si>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</si>
  <si>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</si>
  <si>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</si>
  <si>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</si>
  <si>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</si>
  <si>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</si>
  <si>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</si>
  <si>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</si>
  <si>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</si>
  <si>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</si>
  <si>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</si>
  <si>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</si>
  <si>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</si>
  <si>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</si>
  <si>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</si>
  <si>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</si>
  <si>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</si>
  <si>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</si>
  <si>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</si>
  <si>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</si>
  <si>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</si>
  <si>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</si>
  <si>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</si>
  <si>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</si>
  <si>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</si>
  <si>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</si>
  <si>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</si>
  <si>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</si>
  <si>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</si>
  <si>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</si>
  <si>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</si>
  <si>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</si>
  <si>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</si>
  <si>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</si>
  <si>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</si>
  <si>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</si>
  <si>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</si>
  <si>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</si>
  <si>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</si>
  <si>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</si>
  <si>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</si>
  <si>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</si>
  <si>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</si>
  <si>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</si>
  <si>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</si>
  <si>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</si>
  <si>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</si>
  <si>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</si>
  <si>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</si>
  <si>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</si>
  <si>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</si>
  <si>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</si>
  <si>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</si>
  <si>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</si>
  <si>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</si>
  <si>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</si>
  <si>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</si>
  <si>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</si>
  <si>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</si>
  <si>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</si>
  <si>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</si>
  <si>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</si>
  <si>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</si>
  <si>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</si>
  <si>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</si>
  <si>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</si>
  <si>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</si>
  <si>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</si>
  <si>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</si>
  <si>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</si>
  <si>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</si>
  <si>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</si>
  <si>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</si>
  <si>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</si>
  <si>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</si>
  <si>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</si>
  <si>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</si>
  <si>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</si>
  <si>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</si>
  <si>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</si>
  <si>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</si>
  <si>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</si>
  <si>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</si>
  <si>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</si>
  <si>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</si>
  <si>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</si>
  <si>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</si>
  <si>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</si>
  <si>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</si>
  <si>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</si>
  <si>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</si>
  <si>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</si>
  <si>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</si>
  <si>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</si>
  <si>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</si>
  <si>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</si>
  <si>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</si>
  <si>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</si>
  <si>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</si>
  <si>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</si>
  <si>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</si>
  <si>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</si>
  <si>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</si>
  <si>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</si>
  <si>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</si>
  <si>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</si>
  <si>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</si>
  <si>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</si>
  <si>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</si>
  <si>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</si>
  <si>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</si>
  <si>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</si>
  <si>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</si>
  <si>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</si>
  <si>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</si>
  <si>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</si>
  <si>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</si>
  <si>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</si>
  <si>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</si>
  <si>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</si>
  <si>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</si>
  <si>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</si>
  <si>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</si>
  <si>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</si>
  <si>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</si>
  <si>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</si>
  <si>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</si>
  <si>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</si>
  <si>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</si>
  <si>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</si>
  <si>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</si>
  <si>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</si>
  <si>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</si>
  <si>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</si>
  <si>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</si>
  <si>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</si>
  <si>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</si>
  <si>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</si>
  <si>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</si>
  <si>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</si>
  <si>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</si>
  <si>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</si>
  <si>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</si>
  <si>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</si>
  <si>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</si>
  <si>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</si>
  <si>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</si>
  <si>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</si>
  <si>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</si>
  <si>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</si>
  <si>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</si>
  <si>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</si>
  <si>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</si>
  <si>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</si>
  <si>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</si>
  <si>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</si>
  <si>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</si>
  <si>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</si>
  <si>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</si>
  <si>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</si>
  <si>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</si>
  <si>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</si>
  <si>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</si>
  <si>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</si>
  <si>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</si>
  <si>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</si>
  <si>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</si>
  <si>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</si>
  <si>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</si>
  <si>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</si>
  <si>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</si>
  <si>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</si>
  <si>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</si>
  <si>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</si>
  <si>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</si>
  <si>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</si>
  <si>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</si>
  <si>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</si>
  <si>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</si>
  <si>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</si>
  <si>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</si>
  <si>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</si>
  <si>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</si>
  <si>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</si>
  <si>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</si>
  <si>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</si>
  <si>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</si>
  <si>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</si>
  <si>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</si>
  <si>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</si>
  <si>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</si>
  <si>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</si>
  <si>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</si>
  <si>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</si>
  <si>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</si>
  <si>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</si>
  <si>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</si>
  <si>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</si>
  <si>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</si>
  <si>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</si>
  <si>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</si>
  <si>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</si>
  <si>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</si>
  <si>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</si>
  <si>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</si>
  <si>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</si>
  <si>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</si>
  <si>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</si>
  <si>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</si>
  <si>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</si>
  <si>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</si>
  <si>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</si>
  <si>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</si>
  <si>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</si>
  <si>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</si>
  <si>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</si>
  <si>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</si>
  <si>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</si>
  <si>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</si>
  <si>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</si>
  <si>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</si>
  <si>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</si>
  <si>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</si>
  <si>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</si>
  <si>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</si>
  <si>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</si>
  <si>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</si>
  <si>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</si>
  <si>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</si>
  <si>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</si>
  <si>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</si>
  <si>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</si>
  <si>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</si>
  <si>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</si>
  <si>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</si>
  <si>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</si>
  <si>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</si>
  <si>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</si>
  <si>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</si>
  <si>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</si>
  <si>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</si>
  <si>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</si>
  <si>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</si>
  <si>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</si>
  <si>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</si>
  <si>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</si>
  <si>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</si>
  <si>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</si>
  <si>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</si>
  <si>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</si>
  <si>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</si>
  <si>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</si>
  <si>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</si>
  <si>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</si>
  <si>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</si>
  <si>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</si>
  <si>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</si>
  <si>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</si>
  <si>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</si>
  <si>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</si>
  <si>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</si>
  <si>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</si>
  <si>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</si>
  <si>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</si>
  <si>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</si>
  <si>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</si>
  <si>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</si>
  <si>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</si>
  <si>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</si>
  <si>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</si>
  <si>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</si>
  <si>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</si>
  <si>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</si>
  <si>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</si>
  <si>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</si>
  <si>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</si>
  <si>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</si>
  <si>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</si>
  <si>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</si>
  <si>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</si>
  <si>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</si>
  <si>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</si>
  <si>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</si>
  <si>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</si>
  <si>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</si>
  <si>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</si>
  <si>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</si>
  <si>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</si>
  <si>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</si>
  <si>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</si>
  <si>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</si>
  <si>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</si>
  <si>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</si>
  <si>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</si>
  <si>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</si>
  <si>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</si>
  <si>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</si>
  <si>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</si>
  <si>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</si>
  <si>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</si>
  <si>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</si>
  <si>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</si>
  <si>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</si>
  <si>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</si>
  <si>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</si>
  <si>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</si>
  <si>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</si>
  <si>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</si>
  <si>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</si>
  <si>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</si>
  <si>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</si>
  <si>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</si>
  <si>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</si>
  <si>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</si>
  <si>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</si>
  <si>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</si>
  <si>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</si>
  <si>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</si>
  <si>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</si>
  <si>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</si>
  <si>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</si>
  <si>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</si>
  <si>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</si>
  <si>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</si>
  <si>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</si>
  <si>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</si>
  <si>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</si>
  <si>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</si>
  <si>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</si>
  <si>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</si>
  <si>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</si>
  <si>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</si>
  <si>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</si>
  <si>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</si>
  <si>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</si>
  <si>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</si>
  <si>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</si>
  <si>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</si>
  <si>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</si>
  <si>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</si>
  <si>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</si>
  <si>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</si>
  <si>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</si>
  <si>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</si>
  <si>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</si>
  <si>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</si>
  <si>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</si>
  <si>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</si>
  <si>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</si>
  <si>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</si>
  <si>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</si>
  <si>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</si>
  <si>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</si>
  <si>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</si>
  <si>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</si>
  <si>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</si>
  <si>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</si>
  <si>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</si>
  <si>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</si>
  <si>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</si>
  <si>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</si>
  <si>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</si>
  <si>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</si>
  <si>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</si>
  <si>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</si>
  <si>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</si>
  <si>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</si>
  <si>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</si>
  <si>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</si>
  <si>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</si>
  <si>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</si>
  <si>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</si>
  <si>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</si>
  <si>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</si>
  <si>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</si>
  <si>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</si>
  <si>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</si>
  <si>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</si>
  <si>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</si>
  <si>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</si>
  <si>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</si>
  <si>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</si>
  <si>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</si>
  <si>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</si>
  <si>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</si>
  <si>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</si>
  <si>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</si>
  <si>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</si>
  <si>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</si>
  <si>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</si>
  <si>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</si>
  <si>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</si>
  <si>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</si>
  <si>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</si>
  <si>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</si>
  <si>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</si>
  <si>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</si>
  <si>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</si>
  <si>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</si>
  <si>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</si>
  <si>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</si>
  <si>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</si>
  <si>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</si>
  <si>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</si>
  <si>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</si>
  <si>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</si>
  <si>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</si>
  <si>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</si>
  <si>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</si>
  <si>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</si>
  <si>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</si>
  <si>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</si>
  <si>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</si>
  <si>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</si>
  <si>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</si>
  <si>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</si>
  <si>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</si>
  <si>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</si>
  <si>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</si>
  <si>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</si>
  <si>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</si>
  <si>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</si>
  <si>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</si>
  <si>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</si>
  <si>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</si>
  <si>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</si>
  <si>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</si>
  <si>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</si>
  <si>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</si>
  <si>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</si>
  <si>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</si>
  <si>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</si>
  <si>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</si>
  <si>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</si>
  <si>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</si>
  <si>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</si>
  <si>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</si>
  <si>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</si>
  <si>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</si>
  <si>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</si>
  <si>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</si>
  <si>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</si>
  <si>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</si>
  <si>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</si>
  <si>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</si>
  <si>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</si>
  <si>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</si>
  <si>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</si>
  <si>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</si>
  <si>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</si>
  <si>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</si>
  <si>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</si>
  <si>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</si>
  <si>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</si>
  <si>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</si>
  <si>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</si>
  <si>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</si>
  <si>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</si>
  <si>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</si>
  <si>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</si>
  <si>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</si>
  <si>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</si>
  <si>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</si>
  <si>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</si>
  <si>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</si>
  <si>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</si>
  <si>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</si>
  <si>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</si>
  <si>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</si>
  <si>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</si>
  <si>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</si>
  <si>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</si>
  <si>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</si>
  <si>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</si>
  <si>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</si>
  <si>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</si>
  <si>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</si>
  <si>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</si>
  <si>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</si>
  <si>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</si>
  <si>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</si>
  <si>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</si>
  <si>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</si>
  <si>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</si>
  <si>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</si>
  <si>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</si>
  <si>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</si>
  <si>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</si>
  <si>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</si>
  <si>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</si>
  <si>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</si>
  <si>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</si>
  <si>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</si>
  <si>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</si>
  <si>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</si>
  <si>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</si>
  <si>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</si>
  <si>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</si>
  <si>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</si>
  <si>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</si>
  <si>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</si>
  <si>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</si>
  <si>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</si>
  <si>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</si>
  <si>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</si>
  <si>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</si>
  <si>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</si>
  <si>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</si>
  <si>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</si>
  <si>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</si>
  <si>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</si>
  <si>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</si>
  <si>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</si>
  <si>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</si>
  <si>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</si>
  <si>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</si>
  <si>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</si>
  <si>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</si>
  <si>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</si>
  <si>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</si>
  <si>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</si>
  <si>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</si>
  <si>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</si>
  <si>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</si>
  <si>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</si>
  <si>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</si>
  <si>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</si>
  <si>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</si>
  <si>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</si>
  <si>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</si>
  <si>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</si>
  <si>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</si>
  <si>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</si>
  <si>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</si>
  <si>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</si>
  <si>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</si>
  <si>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</si>
  <si>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</si>
  <si>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</si>
  <si>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</si>
  <si>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</si>
  <si>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</si>
  <si>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</si>
  <si>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</si>
  <si>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</si>
  <si>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</si>
  <si>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</si>
  <si>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</si>
  <si>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</si>
  <si>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</si>
  <si>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</si>
  <si>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</si>
  <si>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</si>
  <si>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</si>
  <si>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</si>
  <si>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</si>
  <si>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</si>
  <si>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</si>
  <si>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</si>
  <si>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</si>
  <si>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</si>
  <si>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</si>
  <si>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</si>
  <si>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</si>
  <si>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</si>
  <si>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</si>
  <si>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</si>
  <si>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</si>
  <si>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</si>
  <si>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</si>
  <si>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</si>
  <si>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</si>
  <si>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</si>
  <si>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</si>
  <si>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</si>
  <si>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</si>
  <si>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</si>
  <si>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</si>
  <si>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</si>
  <si>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</si>
  <si>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</si>
  <si>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</si>
  <si>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</si>
  <si>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</si>
  <si>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</si>
  <si>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</si>
  <si>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</si>
  <si>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</si>
  <si>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</si>
  <si>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</si>
  <si>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</si>
  <si>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</si>
  <si>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</si>
  <si>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</si>
  <si>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</si>
  <si>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</si>
  <si>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</si>
  <si>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</si>
  <si>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</si>
  <si>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</si>
  <si>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</si>
  <si>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</si>
  <si>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</si>
  <si>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</si>
  <si>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</si>
  <si>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</si>
  <si>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</si>
  <si>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</si>
  <si>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</si>
  <si>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</si>
  <si>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</si>
  <si>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</si>
  <si>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</si>
  <si>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</si>
  <si>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</si>
  <si>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</si>
  <si>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</si>
  <si>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</si>
  <si>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</si>
  <si>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</si>
  <si>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</si>
  <si>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</si>
  <si>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</si>
  <si>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</si>
  <si>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</si>
  <si>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</si>
  <si>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</si>
  <si>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</si>
  <si>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</si>
  <si>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</si>
  <si>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</si>
  <si>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</si>
  <si>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</si>
  <si>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</si>
  <si>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</si>
  <si>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</si>
  <si>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</si>
  <si>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</si>
  <si>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</si>
  <si>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</si>
  <si>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</si>
  <si>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</si>
  <si>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</si>
  <si>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</si>
  <si>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</si>
  <si>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</si>
  <si>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</si>
  <si>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</si>
  <si>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</si>
  <si>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</si>
  <si>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</si>
  <si>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</si>
  <si>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</si>
  <si>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</si>
  <si>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</si>
  <si>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</si>
  <si>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</si>
  <si>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</si>
  <si>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</si>
  <si>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</si>
  <si>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</si>
  <si>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</si>
  <si>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</si>
  <si>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</si>
  <si>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</si>
  <si>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</si>
  <si>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</si>
  <si>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</si>
  <si>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</si>
  <si>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</si>
  <si>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</si>
  <si>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</si>
  <si>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</si>
  <si>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</si>
  <si>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</si>
  <si>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</si>
  <si>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</si>
  <si>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</si>
  <si>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</si>
  <si>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</si>
  <si>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</si>
  <si>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</si>
  <si>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</si>
  <si>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</si>
  <si>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</si>
  <si>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</si>
  <si>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</si>
  <si>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</si>
  <si>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</si>
  <si>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</si>
  <si>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</si>
  <si>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</si>
  <si>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</si>
  <si>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</si>
  <si>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</si>
  <si>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</si>
  <si>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</si>
  <si>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</si>
  <si>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</si>
  <si>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</si>
  <si>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</si>
  <si>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</si>
  <si>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</si>
  <si>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</si>
  <si>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</si>
  <si>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</si>
  <si>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</si>
  <si>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</si>
  <si>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</si>
  <si>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</si>
  <si>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</si>
  <si>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</si>
  <si>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</si>
  <si>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</si>
  <si>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</si>
  <si>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</si>
  <si>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</si>
  <si>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</si>
  <si>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</si>
  <si>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</si>
  <si>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</si>
  <si>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</si>
  <si>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</si>
  <si>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</si>
  <si>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</si>
  <si>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</si>
  <si>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</si>
  <si>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</si>
  <si>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</si>
  <si>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</si>
  <si>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</si>
  <si>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</si>
  <si>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</si>
  <si>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</si>
  <si>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</si>
  <si>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</si>
  <si>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</si>
  <si>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</si>
  <si>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</si>
  <si>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</si>
  <si>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</si>
  <si>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</si>
  <si>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</si>
  <si>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</si>
  <si>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</si>
  <si>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</si>
  <si>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</si>
  <si>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</si>
  <si>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</si>
  <si>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</si>
  <si>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</si>
  <si>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</si>
  <si>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</si>
  <si>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</si>
  <si>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</si>
  <si>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</si>
  <si>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</si>
  <si>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</si>
  <si>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</si>
  <si>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</si>
  <si>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</si>
  <si>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</si>
  <si>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</si>
  <si>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</si>
  <si>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</si>
  <si>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</si>
  <si>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</si>
  <si>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</si>
  <si>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</si>
  <si>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</si>
  <si>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</si>
  <si>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</si>
  <si>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</si>
  <si>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</si>
  <si>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</si>
  <si>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</si>
  <si>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</si>
  <si>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</si>
  <si>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</si>
  <si>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</si>
  <si>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</si>
  <si>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</si>
  <si>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</si>
  <si>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</si>
  <si>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</si>
  <si>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</si>
  <si>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</si>
  <si>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</si>
  <si>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</si>
  <si>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</si>
  <si>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</si>
  <si>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</si>
  <si>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</si>
  <si>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</si>
  <si>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</si>
  <si>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</si>
  <si>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</si>
  <si>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</si>
  <si>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</si>
  <si>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</si>
  <si>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</si>
  <si>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</si>
  <si>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</si>
  <si>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</si>
  <si>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</si>
  <si>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</si>
  <si>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</si>
  <si>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</si>
  <si>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</si>
  <si>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</si>
  <si>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</si>
  <si>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</si>
  <si>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</si>
  <si>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</si>
  <si>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</si>
  <si>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</si>
  <si>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</si>
  <si>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</si>
  <si>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</si>
  <si>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</si>
  <si>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</si>
  <si>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</si>
  <si>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</si>
  <si>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</si>
  <si>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</si>
  <si>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</si>
  <si>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</si>
  <si>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</si>
  <si>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</si>
  <si>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</si>
  <si>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</si>
  <si>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</si>
  <si>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</si>
  <si>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</si>
  <si>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</si>
  <si>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</si>
  <si>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</si>
  <si>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</si>
  <si>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</si>
  <si>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</si>
  <si>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</si>
  <si>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</si>
  <si>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</si>
  <si>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</si>
  <si>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</si>
  <si>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</si>
  <si>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</si>
  <si>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</si>
  <si>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</si>
  <si>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</si>
  <si>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</si>
  <si>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</si>
  <si>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</si>
  <si>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</si>
  <si>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</si>
  <si>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</si>
  <si>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</si>
  <si>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</si>
  <si>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</si>
  <si>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</si>
  <si>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</si>
  <si>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</si>
  <si>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</si>
  <si>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</si>
  <si>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</si>
  <si>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</si>
  <si>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</si>
  <si>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</si>
  <si>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</si>
  <si>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</si>
  <si>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</si>
  <si>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</si>
  <si>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</si>
  <si>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</si>
  <si>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</si>
  <si>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</si>
  <si>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</si>
  <si>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</si>
  <si>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</si>
  <si>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</si>
  <si>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</si>
  <si>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</si>
  <si>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</si>
  <si>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</si>
  <si>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</si>
  <si>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</si>
  <si>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</si>
  <si>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</si>
  <si>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</si>
  <si>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</si>
  <si>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</si>
  <si>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</si>
  <si>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</si>
  <si>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</si>
  <si>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</si>
  <si>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</si>
  <si>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</si>
  <si>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</si>
  <si>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</si>
  <si>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</si>
  <si>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</si>
  <si>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</si>
  <si>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</si>
  <si>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</si>
  <si>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</si>
  <si>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</si>
  <si>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</si>
  <si>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</si>
  <si>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</si>
  <si>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</si>
  <si>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</si>
  <si>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</si>
  <si>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</si>
  <si>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</si>
  <si>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</si>
  <si>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</si>
  <si>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</si>
  <si>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</si>
  <si>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</si>
  <si>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</si>
  <si>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</si>
  <si>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</si>
  <si>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</si>
  <si>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</si>
  <si>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</si>
  <si>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</si>
  <si>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</si>
  <si>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</si>
  <si>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</si>
  <si>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</si>
  <si>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</si>
  <si>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</si>
  <si>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</si>
  <si>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</si>
  <si>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</si>
  <si>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</si>
  <si>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</si>
  <si>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</si>
  <si>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</si>
  <si>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</si>
  <si>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</si>
  <si>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</si>
  <si>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</si>
  <si>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</si>
  <si>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</si>
  <si>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</si>
  <si>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</si>
  <si>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</si>
  <si>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</si>
  <si>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</si>
  <si>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</si>
  <si>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</si>
  <si>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</si>
  <si>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</si>
  <si>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</si>
  <si>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</si>
  <si>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</si>
  <si>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</si>
  <si>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</si>
  <si>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</si>
  <si>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</si>
  <si>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</si>
  <si>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</si>
  <si>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</si>
  <si>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</si>
  <si>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</si>
  <si>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</si>
  <si>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</si>
  <si>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</si>
  <si>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</si>
  <si>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</si>
  <si>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</si>
  <si>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</si>
  <si>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</si>
  <si>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</si>
  <si>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</si>
  <si>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</si>
  <si>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</si>
  <si>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</si>
  <si>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</si>
  <si>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</si>
  <si>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</si>
  <si>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</si>
  <si>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</si>
  <si>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</si>
  <si>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</si>
  <si>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</si>
  <si>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</si>
  <si>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</si>
  <si>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</si>
  <si>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</si>
  <si>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</si>
  <si>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</si>
  <si>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</si>
  <si>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</si>
  <si>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</si>
  <si>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</si>
  <si>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</si>
  <si>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</si>
  <si>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</si>
  <si>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</si>
  <si>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</si>
  <si>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</si>
  <si>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</si>
  <si>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</si>
  <si>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</si>
  <si>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</si>
  <si>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</si>
  <si>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</si>
  <si>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</si>
  <si>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</si>
  <si>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</si>
  <si>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</si>
  <si>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</si>
  <si>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</si>
  <si>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</si>
  <si>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</si>
  <si>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</si>
  <si>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</si>
  <si>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</si>
  <si>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</si>
  <si>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</si>
  <si>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</si>
  <si>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</si>
  <si>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</si>
  <si>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</si>
  <si>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</si>
  <si>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</si>
  <si>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</si>
  <si>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</si>
  <si>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</si>
  <si>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</si>
  <si>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</si>
  <si>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</si>
  <si>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</si>
  <si>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</si>
  <si>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</si>
  <si>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</si>
  <si>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</si>
  <si>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</si>
  <si>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</si>
  <si>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</si>
  <si>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</si>
  <si>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</si>
  <si>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</si>
  <si>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</si>
  <si>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</si>
  <si>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</si>
  <si>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</si>
  <si>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</si>
  <si>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</si>
  <si>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</si>
  <si>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</si>
  <si>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</si>
  <si>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</si>
  <si>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</si>
  <si>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</si>
  <si>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</si>
  <si>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</si>
  <si>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</si>
  <si>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</si>
  <si>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</si>
  <si>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</si>
  <si>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</si>
  <si>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</si>
  <si>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</si>
  <si>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</si>
  <si>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</si>
  <si>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</si>
  <si>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</si>
  <si>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</si>
  <si>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</si>
  <si>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</si>
  <si>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</si>
  <si>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</si>
  <si>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</si>
  <si>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</si>
  <si>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</si>
  <si>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</si>
  <si>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</si>
  <si>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</si>
  <si>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</si>
  <si>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</si>
  <si>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</si>
  <si>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</si>
  <si>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</si>
  <si>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</si>
  <si>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</si>
  <si>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</si>
  <si>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</si>
  <si>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</si>
  <si>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</si>
  <si>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</si>
  <si>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</si>
  <si>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</si>
  <si>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</si>
  <si>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</si>
  <si>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</si>
  <si>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</si>
  <si>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</si>
  <si>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</si>
  <si>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</si>
  <si>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</si>
  <si>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</si>
  <si>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</si>
  <si>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</si>
  <si>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</si>
  <si>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</si>
  <si>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</si>
  <si>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</si>
  <si>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</si>
  <si>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</si>
  <si>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</si>
  <si>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</si>
  <si>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</si>
  <si>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</si>
  <si>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</si>
  <si>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</si>
  <si>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</si>
  <si>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</si>
  <si>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</si>
  <si>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</si>
  <si>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</si>
  <si>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</si>
  <si>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</si>
  <si>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</si>
  <si>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</si>
  <si>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</si>
  <si>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</si>
  <si>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</si>
  <si>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</si>
  <si>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</si>
  <si>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</si>
  <si>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</si>
  <si>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</si>
  <si>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</si>
  <si>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</si>
  <si>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</si>
  <si>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</si>
  <si>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</si>
  <si>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</si>
  <si>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</si>
  <si>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</si>
  <si>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</si>
  <si>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</si>
  <si>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</si>
  <si>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</si>
  <si>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</si>
  <si>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</si>
  <si>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</si>
  <si>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</si>
  <si>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</si>
  <si>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</si>
  <si>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</si>
  <si>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</si>
  <si>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</si>
  <si>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</si>
  <si>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</si>
  <si>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</si>
  <si>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</si>
  <si>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</si>
  <si>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</si>
  <si>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</si>
  <si>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</si>
  <si>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</si>
  <si>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</si>
  <si>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</si>
  <si>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</si>
  <si>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</si>
  <si>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</si>
  <si>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</si>
  <si>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</si>
  <si>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</si>
  <si>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</si>
  <si>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</si>
  <si>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</si>
  <si>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</si>
  <si>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</si>
  <si>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</si>
  <si>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</si>
  <si>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</si>
  <si>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</si>
  <si>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</si>
  <si>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</si>
  <si>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</si>
  <si>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</si>
  <si>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</si>
  <si>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</si>
  <si>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</si>
  <si>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</si>
  <si>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</si>
  <si>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</si>
  <si>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</si>
  <si>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</si>
  <si>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</si>
  <si>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</si>
  <si>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</si>
  <si>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</si>
  <si>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</si>
  <si>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</si>
  <si>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</si>
  <si>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</si>
  <si>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</si>
  <si>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</si>
  <si>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</si>
  <si>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</si>
  <si>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</si>
  <si>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</si>
  <si>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</si>
  <si>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</si>
  <si>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</si>
  <si>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</si>
  <si>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</si>
  <si>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</si>
  <si>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</si>
  <si>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</si>
  <si>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</si>
  <si>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</si>
  <si>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</si>
  <si>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</si>
  <si>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</si>
  <si>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</si>
  <si>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</si>
  <si>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</si>
  <si>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</si>
  <si>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</si>
  <si>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</si>
  <si>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</si>
  <si>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</si>
  <si>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</si>
  <si>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</si>
  <si>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</si>
  <si>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</si>
  <si>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</si>
  <si>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</si>
  <si>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</si>
  <si>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</si>
  <si>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</si>
  <si>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</si>
  <si>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</si>
  <si>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</si>
  <si>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</si>
  <si>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</si>
  <si>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</si>
  <si>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</si>
  <si>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</si>
  <si>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</si>
  <si>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</si>
  <si>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</si>
  <si>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</si>
  <si>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</si>
  <si>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</si>
  <si>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</si>
  <si>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</si>
  <si>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</si>
  <si>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</si>
  <si>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</si>
  <si>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</si>
  <si>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</si>
  <si>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</si>
  <si>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</si>
  <si>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</si>
  <si>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</si>
  <si>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</si>
  <si>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</si>
  <si>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</si>
  <si>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</si>
  <si>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</si>
  <si>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</si>
  <si>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</si>
  <si>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</si>
  <si>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</si>
  <si>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</si>
  <si>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</si>
  <si>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</si>
  <si>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</si>
  <si>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</si>
  <si>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</si>
  <si>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</si>
  <si>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</si>
  <si>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</si>
  <si>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</si>
  <si>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</si>
  <si>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</si>
  <si>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</si>
  <si>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</si>
  <si>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</si>
  <si>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</si>
  <si>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</si>
  <si>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</si>
  <si>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</si>
  <si>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</si>
  <si>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</si>
  <si>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</si>
  <si>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</si>
  <si>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</si>
  <si>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</si>
  <si>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</si>
  <si>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</si>
  <si>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</si>
  <si>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</si>
  <si>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</si>
  <si>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</si>
  <si>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</si>
  <si>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</si>
  <si>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</si>
  <si>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</si>
  <si>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</si>
  <si>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</si>
  <si>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</si>
  <si>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</si>
  <si>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</si>
  <si>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</si>
  <si>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</si>
  <si>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</si>
  <si>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</si>
  <si>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</si>
  <si>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</si>
  <si>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</si>
  <si>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</si>
  <si>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</si>
  <si>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</si>
  <si>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</si>
  <si>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</si>
  <si>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</si>
  <si>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</si>
  <si>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</si>
  <si>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</si>
  <si>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</si>
  <si>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</si>
  <si>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</si>
  <si>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</si>
  <si>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</si>
  <si>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</si>
  <si>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</si>
  <si>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</si>
  <si>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</si>
  <si>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</si>
  <si>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</si>
  <si>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</si>
  <si>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</si>
  <si>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</si>
  <si>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</si>
  <si>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</si>
  <si>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</si>
  <si>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</si>
  <si>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</si>
  <si>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</si>
  <si>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</si>
  <si>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</si>
  <si>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</si>
  <si>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</si>
  <si>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</si>
  <si>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</si>
  <si>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</si>
  <si>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</si>
  <si>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</si>
  <si>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</si>
  <si>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</si>
  <si>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</si>
  <si>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</si>
  <si>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</si>
  <si>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</si>
  <si>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</si>
  <si>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</si>
  <si>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</si>
  <si>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</si>
  <si>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</si>
  <si>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</si>
  <si>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</si>
  <si>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</si>
  <si>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</si>
  <si>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</si>
  <si>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</si>
  <si>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</si>
  <si>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</si>
  <si>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</si>
  <si>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</si>
  <si>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</si>
  <si>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</si>
  <si>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</si>
  <si>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</si>
  <si>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</si>
  <si>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</si>
  <si>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</si>
  <si>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</si>
  <si>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</si>
  <si>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</si>
  <si>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</si>
  <si>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</si>
  <si>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</si>
  <si>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</si>
  <si>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</si>
  <si>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</si>
  <si>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</si>
  <si>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</si>
  <si>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</si>
  <si>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</si>
  <si>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</si>
  <si>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</si>
  <si>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</si>
  <si>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</si>
  <si>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</si>
  <si>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</si>
  <si>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</si>
  <si>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</si>
  <si>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</si>
  <si>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</si>
  <si>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</si>
  <si>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</si>
  <si>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</si>
  <si>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</si>
  <si>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</si>
  <si>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</si>
  <si>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</si>
  <si>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</si>
  <si>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</si>
  <si>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</si>
  <si>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</si>
  <si>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</si>
  <si>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</si>
  <si>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</si>
  <si>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</si>
  <si>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</si>
  <si>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</si>
  <si>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</si>
  <si>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</si>
  <si>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</si>
  <si>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</si>
  <si>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</si>
  <si>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</si>
  <si>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</si>
  <si>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</si>
  <si>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</si>
  <si>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</si>
  <si>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</si>
  <si>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</si>
  <si>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</si>
  <si>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</si>
  <si>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</si>
  <si>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</si>
  <si>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</si>
  <si>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</si>
  <si>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</si>
  <si>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</si>
  <si>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</si>
  <si>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</si>
  <si>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</si>
  <si>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</si>
  <si>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</si>
  <si>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</si>
  <si>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</si>
  <si>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</si>
  <si>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</si>
  <si>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</si>
  <si>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</si>
  <si>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</si>
  <si>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</si>
  <si>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</si>
  <si>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</si>
  <si>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</si>
  <si>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</si>
  <si>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</si>
  <si>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</si>
  <si>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</si>
  <si>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</si>
  <si>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</si>
  <si>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</si>
  <si>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</si>
  <si>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</si>
  <si>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</si>
  <si>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</si>
  <si>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</si>
  <si>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</si>
  <si>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</si>
  <si>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</si>
  <si>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</si>
  <si>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</si>
  <si>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</si>
  <si>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</si>
  <si>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</si>
  <si>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</si>
  <si>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</si>
  <si>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</si>
  <si>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</si>
  <si>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</si>
  <si>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</si>
  <si>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</si>
  <si>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</si>
  <si>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</si>
  <si>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</si>
  <si>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</si>
  <si>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</si>
  <si>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</si>
  <si>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</si>
  <si>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</si>
  <si>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</si>
  <si>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</si>
  <si>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</si>
  <si>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</si>
  <si>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</si>
  <si>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</si>
  <si>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</si>
  <si>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</si>
  <si>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</si>
  <si>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</si>
  <si>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</si>
  <si>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</si>
  <si>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</si>
  <si>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</si>
  <si>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</si>
  <si>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</si>
  <si>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</si>
  <si>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</si>
  <si>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</si>
  <si>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</si>
  <si>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</si>
  <si>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</si>
  <si>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</si>
  <si>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</si>
  <si>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</si>
  <si>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</si>
  <si>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</si>
  <si>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</si>
  <si>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</si>
  <si>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</si>
  <si>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</si>
  <si>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</si>
  <si>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</si>
  <si>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</si>
  <si>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</si>
  <si>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</si>
  <si>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</si>
  <si>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</si>
  <si>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</si>
  <si>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</si>
  <si>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</si>
  <si>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</si>
  <si>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</si>
  <si>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</si>
  <si>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</si>
  <si>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</si>
  <si>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</si>
  <si>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</si>
  <si>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</si>
  <si>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</si>
  <si>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</si>
  <si>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</si>
  <si>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</si>
  <si>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</si>
  <si>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</si>
  <si>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</si>
  <si>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</si>
  <si>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</si>
  <si>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</si>
  <si>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</si>
  <si>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</si>
  <si>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</si>
  <si>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</si>
  <si>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</si>
  <si>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</si>
  <si>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</si>
  <si>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</si>
  <si>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</si>
  <si>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</si>
  <si>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</si>
  <si>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</si>
  <si>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</si>
  <si>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</si>
  <si>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</si>
  <si>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</si>
  <si>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</si>
  <si>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</si>
  <si>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</si>
  <si>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</si>
  <si>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</si>
  <si>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</si>
  <si>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</si>
  <si>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</si>
  <si>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</si>
  <si>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</si>
  <si>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</si>
  <si>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</si>
  <si>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</si>
  <si>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</si>
  <si>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</si>
  <si>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</si>
  <si>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</si>
  <si>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</si>
  <si>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</si>
  <si>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</si>
  <si>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</si>
  <si>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</si>
  <si>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</si>
  <si>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</si>
  <si>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</si>
  <si>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</si>
  <si>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</si>
  <si>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</si>
  <si>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</si>
  <si>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</si>
  <si>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</si>
  <si>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</si>
  <si>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</si>
  <si>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</si>
  <si>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</si>
  <si>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</si>
  <si>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</si>
  <si>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</si>
  <si>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</si>
  <si>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</si>
  <si>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</si>
  <si>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</si>
  <si>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</si>
  <si>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</si>
  <si>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</si>
  <si>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</si>
  <si>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</si>
  <si>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</si>
  <si>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</si>
  <si>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</si>
  <si>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</si>
  <si>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</si>
  <si>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</si>
  <si>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</si>
  <si>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</si>
  <si>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</si>
  <si>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</si>
  <si>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</si>
  <si>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</si>
  <si>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</si>
  <si>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</si>
  <si>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</si>
  <si>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</si>
  <si>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</si>
  <si>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</si>
  <si>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</si>
  <si>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</si>
  <si>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</si>
  <si>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</si>
  <si>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</si>
  <si>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</si>
  <si>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</si>
  <si>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</si>
  <si>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</si>
  <si>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</si>
  <si>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</si>
  <si>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</si>
  <si>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</si>
  <si>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</si>
  <si>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</si>
  <si>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</si>
  <si>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</si>
  <si>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</si>
  <si>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</si>
  <si>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</si>
  <si>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</si>
  <si>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</si>
  <si>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</si>
  <si>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</si>
  <si>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</si>
  <si>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</si>
  <si>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</si>
  <si>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</si>
  <si>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</si>
  <si>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</si>
  <si>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</si>
  <si>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</si>
  <si>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</si>
  <si>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</si>
  <si>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</si>
  <si>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</si>
  <si>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</si>
  <si>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</si>
  <si>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</si>
  <si>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</si>
  <si>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</si>
  <si>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</si>
  <si>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</si>
  <si>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</si>
  <si>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</si>
  <si>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</si>
  <si>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</si>
  <si>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</si>
  <si>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</si>
  <si>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</si>
  <si>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</si>
  <si>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</si>
  <si>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</si>
  <si>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</si>
  <si>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</si>
  <si>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</si>
  <si>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</si>
  <si>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</si>
  <si>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</si>
  <si>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</si>
  <si>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</si>
  <si>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</si>
  <si>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</si>
  <si>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</si>
  <si>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</si>
  <si>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</si>
  <si>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</si>
  <si>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</si>
  <si>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</si>
  <si>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</si>
  <si>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</si>
  <si>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</si>
  <si>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</si>
  <si>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</si>
  <si>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</si>
  <si>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</si>
  <si>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</si>
  <si>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</si>
  <si>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</si>
  <si>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</si>
  <si>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</si>
  <si>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</si>
  <si>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</si>
  <si>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</si>
  <si>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</si>
  <si>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</si>
  <si>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</si>
  <si>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</si>
  <si>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</si>
  <si>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</si>
  <si>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</si>
  <si>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</si>
  <si>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</si>
  <si>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</si>
  <si>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</si>
  <si>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</si>
  <si>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</si>
  <si>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</si>
  <si>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</si>
  <si>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</si>
  <si>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</si>
  <si>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</si>
  <si>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</si>
  <si>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</si>
  <si>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</si>
  <si>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</si>
  <si>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</si>
  <si>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</si>
  <si>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</si>
  <si>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</si>
  <si>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</si>
  <si>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</si>
  <si>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</si>
  <si>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</si>
  <si>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</si>
  <si>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</si>
  <si>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</si>
  <si>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</si>
  <si>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</si>
  <si>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</si>
  <si>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</si>
  <si>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</si>
  <si>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</si>
  <si>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</si>
  <si>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</si>
  <si>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</si>
  <si>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</si>
  <si>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</si>
  <si>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</si>
  <si>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</si>
  <si>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</si>
  <si>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</si>
  <si>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</si>
  <si>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</si>
  <si>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</si>
  <si>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</si>
  <si>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</si>
  <si>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</si>
  <si>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</si>
  <si>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</si>
  <si>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</si>
  <si>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</si>
  <si>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</si>
  <si>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</si>
  <si>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</si>
  <si>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</si>
  <si>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</si>
  <si>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</si>
  <si>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</si>
  <si>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</si>
  <si>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</si>
  <si>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</si>
  <si>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</si>
  <si>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</si>
  <si>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</si>
  <si>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</si>
  <si>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</si>
  <si>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</si>
  <si>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</si>
  <si>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</si>
  <si>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</si>
  <si>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</si>
  <si>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</si>
  <si>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</si>
  <si>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</si>
  <si>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</si>
  <si>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</si>
  <si>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</si>
  <si>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</si>
  <si>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</si>
  <si>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</si>
  <si>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</si>
  <si>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</si>
  <si>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</si>
  <si>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</si>
  <si>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</si>
  <si>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</si>
  <si>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</si>
  <si>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</si>
  <si>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</si>
  <si>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</si>
  <si>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</si>
  <si>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</si>
  <si>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</si>
  <si>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</si>
  <si>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</si>
  <si>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</si>
  <si>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</si>
  <si>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</si>
  <si>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</si>
  <si>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</si>
  <si>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</si>
  <si>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</si>
  <si>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</si>
  <si>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</si>
  <si>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</si>
  <si>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</si>
  <si>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</si>
  <si>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</si>
  <si>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</si>
  <si>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</si>
  <si>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</si>
  <si>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</si>
  <si>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</si>
  <si>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</si>
  <si>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</si>
  <si>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</si>
  <si>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</si>
  <si>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</si>
  <si>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</si>
  <si>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</si>
  <si>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</si>
  <si>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</si>
  <si>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</si>
  <si>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</si>
  <si>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</si>
  <si>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</si>
  <si>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</si>
  <si>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</si>
  <si>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</si>
  <si>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</si>
  <si>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</si>
  <si>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</si>
  <si>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</si>
  <si>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</si>
  <si>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</si>
  <si>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</si>
  <si>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</si>
  <si>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</si>
  <si>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</si>
  <si>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</si>
  <si>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</si>
  <si>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</si>
  <si>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</si>
  <si>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</si>
  <si>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</si>
  <si>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</si>
  <si>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</si>
  <si>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</si>
  <si>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</si>
  <si>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</si>
  <si>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</si>
  <si>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</si>
  <si>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</si>
  <si>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</si>
  <si>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</si>
  <si>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</si>
  <si>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</si>
  <si>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</si>
  <si>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</si>
  <si>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</si>
  <si>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</si>
  <si>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</si>
  <si>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</si>
  <si>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</si>
  <si>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</si>
  <si>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</si>
  <si>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</si>
  <si>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</si>
  <si>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</si>
  <si>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</si>
  <si>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</si>
  <si>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</si>
  <si>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</si>
  <si>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</si>
  <si>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</si>
  <si>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</si>
  <si>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</si>
  <si>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</si>
  <si>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</si>
  <si>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</si>
  <si>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</si>
  <si>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</si>
  <si>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</si>
  <si>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</si>
  <si>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</si>
  <si>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</si>
  <si>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</si>
  <si>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</si>
  <si>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</si>
  <si>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</si>
  <si>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</si>
  <si>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</si>
  <si>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</si>
  <si>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</si>
  <si>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</si>
  <si>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</si>
  <si>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</si>
  <si>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</si>
  <si>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</si>
  <si>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</si>
  <si>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</si>
  <si>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</si>
  <si>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</si>
  <si>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</si>
  <si>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</si>
  <si>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</si>
  <si>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</si>
  <si>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</si>
  <si>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</si>
  <si>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</si>
  <si>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</si>
  <si>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</si>
  <si>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</si>
  <si>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</si>
  <si>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</si>
  <si>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</si>
  <si>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</si>
  <si>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</si>
  <si>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</si>
  <si>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</si>
  <si>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</si>
  <si>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</si>
  <si>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</si>
  <si>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</si>
  <si>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</si>
  <si>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</si>
  <si>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</si>
  <si>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</si>
  <si>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</si>
  <si>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</si>
  <si>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</si>
  <si>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</si>
  <si>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</si>
  <si>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</si>
  <si>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</si>
  <si>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</si>
  <si>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</si>
  <si>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</si>
  <si>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</si>
  <si>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</si>
  <si>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</si>
  <si>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</si>
  <si>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</si>
  <si>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</si>
  <si>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</si>
  <si>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</si>
  <si>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</si>
  <si>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</si>
  <si>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</si>
  <si>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</si>
  <si>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</si>
  <si>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</si>
  <si>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</si>
  <si>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</si>
  <si>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</si>
  <si>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</si>
  <si>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</si>
  <si>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</si>
  <si>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</si>
  <si>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</si>
  <si>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</si>
  <si>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</si>
  <si>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</si>
  <si>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</si>
  <si>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</si>
  <si>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</si>
  <si>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</si>
  <si>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</si>
  <si>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</si>
  <si>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</si>
  <si>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</si>
  <si>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</si>
  <si>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</si>
  <si>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</si>
  <si>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</si>
  <si>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</si>
  <si>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</si>
  <si>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</si>
  <si>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</si>
  <si>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</si>
  <si>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</si>
  <si>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</si>
  <si>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</si>
  <si>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</si>
  <si>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</si>
  <si>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</si>
  <si>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</si>
  <si>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</si>
  <si>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</si>
  <si>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</si>
  <si>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</si>
  <si>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</si>
  <si>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</si>
  <si>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</si>
  <si>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</si>
  <si>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</si>
  <si>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</si>
  <si>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</si>
  <si>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</si>
  <si>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</si>
  <si>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</si>
  <si>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</si>
  <si>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</si>
  <si>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</si>
  <si>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</si>
  <si>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</si>
  <si>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</si>
  <si>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</si>
  <si>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</si>
  <si>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</si>
  <si>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</si>
  <si>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</si>
  <si>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</si>
  <si>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</si>
  <si>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</si>
  <si>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</si>
  <si>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</si>
  <si>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</si>
  <si>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</si>
  <si>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</si>
  <si>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</si>
  <si>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</si>
  <si>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</si>
  <si>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</si>
  <si>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</si>
  <si>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</si>
  <si>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</si>
  <si>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</si>
  <si>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</si>
  <si>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</si>
  <si>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</si>
  <si>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</si>
  <si>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</si>
  <si>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</si>
  <si>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</si>
  <si>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</si>
  <si>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</si>
  <si>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</si>
  <si>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</si>
  <si>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</si>
  <si>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</si>
  <si>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</si>
  <si>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</si>
  <si>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</si>
  <si>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</si>
  <si>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</si>
  <si>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</si>
  <si>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</si>
  <si>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</si>
  <si>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</si>
  <si>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</si>
  <si>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</si>
  <si>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</si>
  <si>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</si>
  <si>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</si>
  <si>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</si>
  <si>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</si>
  <si>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</si>
  <si>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</si>
  <si>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</si>
  <si>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</si>
  <si>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</si>
  <si>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</si>
  <si>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</si>
  <si>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</si>
  <si>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</si>
  <si>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</si>
  <si>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</si>
  <si>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</si>
  <si>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</si>
  <si>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</si>
  <si>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</si>
  <si>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</si>
  <si>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</si>
  <si>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</si>
  <si>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</si>
  <si>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</si>
  <si>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</si>
  <si>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</si>
  <si>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</si>
  <si>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</si>
  <si>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</si>
  <si>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</si>
  <si>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</si>
  <si>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</si>
  <si>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</si>
  <si>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</si>
  <si>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</si>
  <si>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</si>
  <si>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</si>
  <si>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</si>
  <si>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</si>
  <si>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</si>
  <si>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</si>
  <si>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</si>
  <si>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</si>
  <si>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</si>
  <si>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</si>
  <si>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</si>
  <si>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</si>
  <si>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</si>
  <si>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</si>
  <si>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</si>
  <si>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</si>
  <si>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</si>
  <si>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</si>
  <si>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</si>
  <si>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</si>
  <si>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</si>
  <si>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</si>
  <si>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</si>
  <si>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</si>
  <si>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</si>
  <si>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</si>
  <si>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</si>
  <si>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</si>
  <si>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</si>
  <si>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</si>
  <si>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</si>
  <si>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</si>
  <si>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</si>
  <si>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</si>
  <si>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</si>
  <si>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</si>
  <si>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</si>
  <si>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</si>
  <si>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</si>
  <si>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</si>
  <si>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</si>
  <si>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</si>
  <si>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</si>
  <si>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</si>
  <si>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</si>
  <si>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</si>
  <si>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</si>
  <si>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</si>
  <si>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</si>
  <si>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</si>
  <si>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</si>
  <si>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</si>
  <si>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</si>
  <si>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</si>
  <si>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</si>
  <si>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</si>
  <si>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</si>
  <si>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</si>
  <si>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</si>
  <si>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</si>
  <si>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</si>
  <si>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</si>
  <si>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</si>
  <si>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</si>
  <si>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</si>
  <si>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</si>
  <si>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</si>
  <si>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</si>
  <si>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</si>
  <si>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</si>
  <si>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</si>
  <si>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</si>
  <si>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</si>
  <si>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</si>
  <si>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</si>
  <si>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</si>
  <si>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</si>
  <si>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</si>
  <si>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</si>
  <si>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</si>
  <si>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</si>
  <si>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</si>
  <si>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</si>
  <si>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</si>
  <si>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</si>
  <si>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</si>
  <si>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</si>
  <si>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</si>
  <si>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</si>
  <si>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</si>
  <si>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</si>
  <si>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</si>
  <si>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</si>
  <si>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</si>
  <si>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</si>
  <si>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</si>
  <si>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</si>
  <si>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</si>
  <si>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</si>
  <si>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</si>
  <si>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</si>
  <si>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</si>
  <si>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</si>
  <si>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</si>
  <si>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</si>
  <si>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</si>
  <si>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</si>
  <si>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</si>
  <si>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</si>
  <si>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</si>
  <si>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</si>
  <si>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</si>
  <si>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</si>
  <si>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</si>
  <si>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</si>
  <si>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</si>
  <si>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</si>
  <si>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</si>
  <si>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</si>
  <si>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</si>
  <si>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</si>
  <si>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</si>
  <si>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</si>
  <si>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</si>
  <si>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</si>
  <si>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</si>
  <si>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</si>
  <si>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</si>
  <si>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</si>
  <si>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</si>
  <si>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</si>
  <si>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</si>
  <si>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</si>
  <si>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</si>
  <si>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</si>
  <si>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</si>
  <si>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</si>
  <si>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</si>
  <si>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</si>
  <si>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</si>
  <si>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</si>
  <si>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</si>
  <si>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</si>
  <si>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</si>
  <si>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</si>
  <si>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</si>
  <si>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</si>
  <si>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</si>
  <si>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</si>
  <si>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</si>
  <si>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</si>
  <si>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</si>
  <si>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</si>
  <si>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</si>
  <si>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</si>
  <si>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</si>
  <si>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</si>
  <si>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</si>
  <si>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</si>
  <si>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</si>
  <si>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</si>
  <si>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</si>
  <si>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</si>
  <si>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</si>
  <si>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</si>
  <si>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</si>
  <si>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</si>
  <si>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</si>
  <si>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</si>
  <si>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</si>
  <si>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</si>
  <si>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</si>
  <si>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</si>
  <si>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</si>
  <si>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</si>
  <si>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</si>
  <si>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</si>
  <si>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</si>
  <si>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</si>
  <si>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</si>
  <si>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</si>
  <si>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</si>
  <si>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</si>
  <si>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</si>
  <si>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</si>
  <si>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</si>
  <si>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</si>
  <si>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</si>
  <si>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</si>
  <si>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</si>
  <si>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</si>
  <si>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</si>
  <si>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</si>
  <si>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</si>
  <si>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</si>
  <si>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</si>
  <si>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</si>
  <si>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</si>
  <si>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</si>
  <si>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</si>
  <si>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</si>
  <si>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</si>
  <si>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</si>
  <si>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</si>
  <si>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</si>
  <si>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</si>
  <si>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</si>
  <si>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</si>
  <si>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</si>
  <si>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</si>
  <si>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</si>
  <si>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</si>
  <si>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</si>
  <si>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</si>
  <si>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</si>
  <si>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</si>
  <si>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</si>
  <si>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</si>
  <si>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</si>
  <si>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</si>
  <si>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</si>
  <si>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</si>
  <si>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</si>
  <si>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</si>
  <si>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</si>
  <si>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</si>
  <si>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</si>
  <si>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</si>
  <si>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</si>
  <si>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</si>
  <si>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</si>
  <si>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101</t>
  </si>
  <si>
    <t>102</t>
  </si>
  <si>
    <t>103</t>
  </si>
  <si>
    <t>104</t>
  </si>
  <si>
    <t>105</t>
  </si>
  <si>
    <t>106</t>
  </si>
  <si>
    <t>107</t>
  </si>
  <si>
    <t>108</t>
  </si>
  <si>
    <t>109</t>
  </si>
  <si>
    <t>110</t>
  </si>
  <si>
    <t>111</t>
  </si>
  <si>
    <t>112</t>
  </si>
  <si>
    <t>113</t>
  </si>
  <si>
    <t>114</t>
  </si>
  <si>
    <t>115</t>
  </si>
  <si>
    <t>116</t>
  </si>
  <si>
    <t>117</t>
  </si>
  <si>
    <t>118</t>
  </si>
  <si>
    <t>201</t>
  </si>
  <si>
    <t>202</t>
  </si>
  <si>
    <t>203</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</si>
  <si>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</si>
  <si>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</si>
  <si>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</si>
  <si>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</si>
  <si>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</si>
  <si>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</si>
  <si>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</si>
  <si>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</si>
  <si>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</si>
  <si>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</si>
  <si>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</si>
  <si>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</si>
  <si>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</si>
  <si>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</si>
  <si>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</si>
  <si>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</si>
  <si>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</si>
  <si>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</si>
  <si>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</si>
  <si>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</si>
  <si>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</si>
  <si>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</si>
  <si>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</si>
  <si>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</si>
  <si>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</si>
  <si>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</si>
  <si>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</si>
  <si>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</si>
  <si>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</si>
  <si>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</si>
  <si>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</si>
  <si>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</si>
  <si>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</si>
  <si>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</si>
  <si>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</si>
  <si>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</si>
  <si>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</si>
  <si>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</si>
  <si>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</si>
  <si>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</si>
  <si>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</si>
  <si>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</si>
  <si>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</si>
  <si>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</si>
  <si>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</si>
  <si>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</si>
  <si>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</si>
  <si>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</si>
  <si>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</si>
  <si>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</si>
  <si>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</si>
  <si>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</si>
  <si>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</si>
  <si>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</si>
  <si>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</si>
  <si>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</si>
  <si>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</si>
  <si>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</si>
  <si>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</si>
  <si>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</si>
  <si>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</si>
  <si>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</si>
  <si>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</si>
  <si>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</si>
  <si>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</si>
  <si>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</si>
  <si>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</si>
  <si>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</si>
  <si>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</si>
  <si>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</si>
  <si>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</si>
  <si>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</si>
  <si>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</si>
  <si>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</si>
  <si>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</si>
  <si>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</si>
  <si>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</si>
  <si>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</si>
  <si>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</si>
  <si>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</si>
  <si>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</si>
  <si>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</si>
  <si>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</si>
  <si>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</si>
  <si>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</si>
  <si>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</si>
  <si>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</si>
  <si>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</si>
  <si>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</si>
  <si>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</si>
  <si>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</si>
  <si>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</si>
  <si>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</si>
  <si>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</si>
  <si>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</si>
  <si>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</si>
  <si>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</si>
  <si>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</si>
  <si>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</si>
  <si>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</si>
  <si>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</si>
  <si>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</si>
  <si>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</si>
  <si>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</si>
  <si>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</si>
  <si>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</si>
  <si>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</si>
  <si>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</si>
  <si>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</si>
  <si>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</si>
  <si>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</si>
  <si>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</si>
  <si>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</si>
  <si>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</si>
  <si>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</si>
  <si>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</si>
  <si>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</si>
  <si>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</si>
  <si>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</si>
  <si>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</si>
  <si>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</si>
  <si>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</si>
  <si>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</si>
  <si>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</si>
  <si>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</si>
  <si>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</si>
  <si>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</si>
  <si>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</si>
  <si>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</si>
  <si>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</si>
  <si>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</si>
  <si>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</si>
  <si>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</si>
  <si>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</si>
  <si>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</si>
  <si>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</si>
  <si>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</si>
  <si>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</si>
  <si>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</si>
  <si>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</si>
  <si>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</si>
  <si>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</si>
  <si>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</si>
  <si>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</si>
  <si>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</si>
  <si>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</si>
  <si>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</si>
  <si>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</si>
  <si>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</si>
  <si>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</si>
  <si>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</si>
  <si>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</si>
  <si>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</si>
  <si>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</si>
  <si>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</si>
  <si>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</si>
  <si>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</si>
  <si>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</si>
  <si>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</si>
  <si>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</si>
  <si>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</si>
  <si>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</si>
  <si>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</si>
  <si>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</si>
  <si>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</si>
  <si>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</si>
  <si>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</si>
  <si>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</si>
  <si>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</si>
  <si>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</si>
  <si>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</si>
  <si>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</si>
  <si>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</si>
  <si>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</si>
  <si>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</si>
  <si>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</si>
  <si>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</si>
  <si>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</si>
  <si>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</si>
  <si>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</si>
  <si>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</si>
  <si>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</si>
  <si>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</si>
  <si>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</si>
  <si>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</si>
  <si>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</si>
  <si>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</si>
  <si>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</si>
  <si>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</si>
  <si>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</si>
  <si>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</si>
  <si>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</si>
  <si>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</si>
  <si>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</si>
  <si>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</si>
  <si>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</si>
  <si>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</si>
  <si>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</si>
  <si>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</si>
  <si>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</si>
  <si>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</si>
  <si>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</si>
  <si>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</si>
  <si>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</si>
  <si>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</si>
  <si>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r>
      <rPr>
        <sz val="10"/>
        <color indexed="8"/>
        <rFont val="宋体"/>
        <family val="3"/>
        <charset val="134"/>
      </rPr>
      <t>人防是否参与分摊</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</si>
  <si>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</si>
  <si>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t>是</t>
  </si>
  <si>
    <t>成新度</t>
  </si>
  <si>
    <t>按租金收入计税</t>
  </si>
  <si>
    <t>钢混</t>
  </si>
  <si>
    <t>非生产用房</t>
  </si>
  <si>
    <t>正常</t>
  </si>
  <si>
    <t>较差</t>
  </si>
  <si>
    <t>一般</t>
  </si>
  <si>
    <t>六通</t>
  </si>
  <si>
    <t>单面临街</t>
  </si>
  <si>
    <t>次干道</t>
  </si>
  <si>
    <t>三通</t>
  </si>
  <si>
    <t>单位面积地价</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</si>
  <si>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</si>
  <si>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</si>
  <si>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</si>
  <si>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</si>
  <si>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</si>
  <si>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</si>
  <si>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</si>
  <si>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</si>
  <si>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</si>
  <si>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</si>
  <si>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</si>
  <si>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</si>
  <si>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</si>
  <si>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</si>
  <si>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</si>
  <si>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</si>
  <si>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</si>
  <si>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</si>
  <si>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</si>
  <si>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</si>
  <si>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</si>
  <si>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</si>
  <si>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</si>
  <si>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</si>
  <si>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</si>
  <si>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</si>
  <si>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</si>
  <si>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</si>
  <si>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</si>
  <si>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</si>
  <si>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</si>
  <si>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</si>
  <si>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</si>
  <si>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</si>
  <si>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</si>
  <si>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</si>
  <si>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</si>
  <si>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</si>
  <si>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</si>
  <si>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</si>
  <si>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</si>
  <si>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</si>
  <si>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</si>
  <si>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</si>
  <si>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</si>
  <si>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</si>
  <si>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</si>
  <si>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</si>
  <si>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估价对象名称</t>
  </si>
  <si>
    <t>项目位置</t>
  </si>
  <si>
    <t>商业</t>
    <phoneticPr fontId="31" type="noConversion"/>
  </si>
  <si>
    <t>梅山保税港区37-4号地块</t>
    <phoneticPr fontId="143" type="noConversion"/>
  </si>
  <si>
    <t>较好</t>
  </si>
  <si>
    <t>主干道</t>
    <phoneticPr fontId="31" type="noConversion"/>
  </si>
  <si>
    <t>次干道</t>
    <phoneticPr fontId="31" type="noConversion"/>
  </si>
  <si>
    <t>六通</t>
    <phoneticPr fontId="31" type="noConversion"/>
  </si>
  <si>
    <t>三通</t>
    <phoneticPr fontId="31" type="noConversion"/>
  </si>
  <si>
    <t>五通</t>
    <phoneticPr fontId="31" type="noConversion"/>
  </si>
  <si>
    <t>四通</t>
    <phoneticPr fontId="31" type="noConversion"/>
  </si>
  <si>
    <t>现房</t>
  </si>
  <si>
    <t>成本法</t>
  </si>
  <si>
    <r>
      <rPr>
        <sz val="11"/>
        <color theme="9" tint="-0.249977111117893"/>
        <rFont val="宋体"/>
        <family val="3"/>
        <charset val="134"/>
      </rPr>
      <t>梅山保税港区</t>
    </r>
    <r>
      <rPr>
        <sz val="11"/>
        <color theme="9" tint="-0.249977111117893"/>
        <rFont val="Arial"/>
        <family val="2"/>
      </rPr>
      <t>37-5</t>
    </r>
    <r>
      <rPr>
        <sz val="11"/>
        <color theme="9" tint="-0.249977111117893"/>
        <rFont val="宋体"/>
        <family val="3"/>
        <charset val="134"/>
      </rPr>
      <t>号地块</t>
    </r>
    <phoneticPr fontId="31" type="noConversion"/>
  </si>
  <si>
    <t>规则</t>
  </si>
  <si>
    <t>规则</t>
    <phoneticPr fontId="31" type="noConversion"/>
  </si>
  <si>
    <t>不规则</t>
    <phoneticPr fontId="31" type="noConversion"/>
  </si>
  <si>
    <t>押一</t>
  </si>
  <si>
    <t>成本比率</t>
  </si>
  <si>
    <t>建筑物价值</t>
  </si>
  <si>
    <t>收益法-7</t>
  </si>
  <si>
    <t>收益法-3</t>
  </si>
  <si>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</si>
  <si>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</si>
  <si>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</si>
  <si>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</si>
  <si>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</si>
  <si>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</si>
  <si>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</si>
  <si>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</si>
  <si>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</si>
  <si>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</si>
  <si>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</si>
  <si>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</si>
  <si>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</si>
  <si>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</si>
  <si>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</si>
  <si>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</si>
  <si>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</si>
  <si>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</si>
  <si>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</si>
  <si>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</si>
  <si>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</si>
  <si>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</si>
  <si>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</si>
  <si>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</si>
  <si>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</si>
  <si>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</si>
  <si>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</si>
  <si>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</si>
  <si>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</si>
  <si>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</si>
  <si>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</si>
  <si>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</si>
  <si>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</si>
  <si>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</si>
  <si>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</si>
  <si>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</si>
  <si>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成本法 (2)</t>
  </si>
  <si>
    <t>成本法 (3)</t>
  </si>
  <si>
    <t>规划建筑面积（㎡）</t>
  </si>
  <si>
    <t>地上规划建筑面积</t>
  </si>
  <si>
    <t>地下规划建筑面积</t>
  </si>
  <si>
    <t>坐落</t>
    <phoneticPr fontId="143" type="noConversion"/>
  </si>
  <si>
    <t>分摊土地面积</t>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</si>
  <si>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3</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</si>
  <si>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6</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</si>
  <si>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7</t>
    </r>
    <r>
      <rPr>
        <sz val="10"/>
        <color rgb="FF000000"/>
        <rFont val="宋体"/>
        <family val="3"/>
        <charset val="134"/>
      </rPr>
      <t>幢</t>
    </r>
    <phoneticPr fontId="143" type="noConversion"/>
  </si>
  <si>
    <t>已包含在土地取得成本中</t>
  </si>
  <si>
    <t>3号公寓楼不动产权证情况</t>
    <phoneticPr fontId="3" type="noConversion"/>
  </si>
  <si>
    <t>单位：㎡</t>
  </si>
  <si>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</si>
  <si>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</si>
  <si>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</si>
  <si>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</si>
  <si>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</si>
  <si>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</si>
  <si>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</si>
  <si>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</si>
  <si>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</si>
  <si>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</si>
  <si>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</si>
  <si>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</si>
  <si>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</si>
  <si>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</si>
  <si>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7" type="noConversion"/>
  </si>
  <si>
    <t>旅游用地</t>
    <phoneticPr fontId="3" type="noConversion"/>
  </si>
  <si>
    <t>12层</t>
    <phoneticPr fontId="3" type="noConversion"/>
  </si>
  <si>
    <t>1层</t>
    <phoneticPr fontId="3" type="noConversion"/>
  </si>
  <si>
    <t>宁波万年基业文化旅游投资有限公司</t>
    <phoneticPr fontId="3" type="noConversion"/>
  </si>
  <si>
    <t>北仑区春晓镇春晓大道999号（乐享城）3幢102室</t>
  </si>
  <si>
    <t>浙（2018）北仑区不动产权第0024609号</t>
    <phoneticPr fontId="257" type="noConversion"/>
  </si>
  <si>
    <t>旅游用地</t>
    <phoneticPr fontId="3" type="noConversion"/>
  </si>
  <si>
    <t>北仑区春晓镇春晓大道999号（乐享城）3幢103室</t>
  </si>
  <si>
    <t>浙（2018）北仑区不动产权第0024588号</t>
    <phoneticPr fontId="257" type="noConversion"/>
  </si>
  <si>
    <t>旅游用地</t>
    <phoneticPr fontId="3" type="noConversion"/>
  </si>
  <si>
    <t>北仑区春晓镇春晓大道999号（乐享城）3幢104室</t>
  </si>
  <si>
    <t>浙（2018）北仑区不动产权第0024663号</t>
    <phoneticPr fontId="257" type="noConversion"/>
  </si>
  <si>
    <t>北仑区春晓镇春晓大道999号（乐享城）3幢106室</t>
    <phoneticPr fontId="3" type="noConversion"/>
  </si>
  <si>
    <t>浙（2018）北仑区不动产权第0024658号</t>
    <phoneticPr fontId="257" type="noConversion"/>
  </si>
  <si>
    <t>旅游用地</t>
    <phoneticPr fontId="3" type="noConversion"/>
  </si>
  <si>
    <t>宁波万年基业文化旅游投资有限公司</t>
    <phoneticPr fontId="3" type="noConversion"/>
  </si>
  <si>
    <t>北仑区春晓镇春晓大道999号（乐享城）3幢107室</t>
  </si>
  <si>
    <t>浙（2018）北仑区不动产权第0024579号</t>
    <phoneticPr fontId="257" type="noConversion"/>
  </si>
  <si>
    <t>北仑区春晓镇春晓大道999号（乐享城）3幢108室</t>
  </si>
  <si>
    <t>浙（2018）北仑区不动产权第0024629号</t>
    <phoneticPr fontId="257" type="noConversion"/>
  </si>
  <si>
    <t>北仑区春晓镇春晓大道999号（乐享城）3幢109室</t>
  </si>
  <si>
    <t>浙（2018）北仑区不动产权第0024744号</t>
    <phoneticPr fontId="257" type="noConversion"/>
  </si>
  <si>
    <t>北仑区春晓镇春晓大道999号（乐享城）3幢110室</t>
  </si>
  <si>
    <t>浙（2018）北仑区不动产权第0024620号</t>
    <phoneticPr fontId="257" type="noConversion"/>
  </si>
  <si>
    <t>北仑区春晓镇春晓大道999号（乐享城）3幢111室</t>
  </si>
  <si>
    <t>浙（2018）北仑区不动产权第0024739号</t>
    <phoneticPr fontId="257" type="noConversion"/>
  </si>
  <si>
    <t>北仑区春晓镇春晓大道999号（乐享城）3幢112室</t>
  </si>
  <si>
    <t>浙（2018）北仑区不动产权第0024607号</t>
    <phoneticPr fontId="257" type="noConversion"/>
  </si>
  <si>
    <t>北仑区春晓镇春晓大道999号（乐享城）3幢113室</t>
  </si>
  <si>
    <t>浙（2018）北仑区不动产权第0024587号</t>
    <phoneticPr fontId="257" type="noConversion"/>
  </si>
  <si>
    <t>北仑区春晓镇春晓大道999号（乐享城）3幢114室</t>
  </si>
  <si>
    <t>浙（2018）北仑区不动产权第0024533号</t>
    <phoneticPr fontId="257" type="noConversion"/>
  </si>
  <si>
    <t>北仑区春晓镇春晓大道999号（乐享城）3幢115室</t>
  </si>
  <si>
    <t>浙（2018）北仑区不动产权第0024731号</t>
    <phoneticPr fontId="257" type="noConversion"/>
  </si>
  <si>
    <t>北仑区春晓镇春晓大道999号（乐享城）3幢116室</t>
  </si>
  <si>
    <t>浙（2018）北仑区不动产权第0024570号</t>
    <phoneticPr fontId="257" type="noConversion"/>
  </si>
  <si>
    <t>北仑区春晓镇春晓大道999号（乐享城）3幢117室</t>
  </si>
  <si>
    <t>浙（2018）北仑区不动产权第0024668号</t>
    <phoneticPr fontId="257" type="noConversion"/>
  </si>
  <si>
    <t>北仑区春晓镇春晓大道999号（乐享城）3幢118室</t>
  </si>
  <si>
    <t>浙（2018）北仑区不动产权第0024535号</t>
    <phoneticPr fontId="257" type="noConversion"/>
  </si>
  <si>
    <t>北仑区春晓镇春晓大道999号（乐享城）3幢201室</t>
    <phoneticPr fontId="3" type="noConversion"/>
  </si>
  <si>
    <t>浙（2018）北仑区不动产权第0024591号</t>
    <phoneticPr fontId="257" type="noConversion"/>
  </si>
  <si>
    <t>2层</t>
    <phoneticPr fontId="3" type="noConversion"/>
  </si>
  <si>
    <t>宁波万年基业文化旅游投资有限公司</t>
    <phoneticPr fontId="3" type="noConversion"/>
  </si>
  <si>
    <t>北仑区春晓镇春晓大道999号（乐享城）3幢202室</t>
  </si>
  <si>
    <t>浙（2018）北仑区不动产权第0024593号</t>
    <phoneticPr fontId="257" type="noConversion"/>
  </si>
  <si>
    <t>北仑区春晓镇春晓大道999号（乐享城）3幢203室</t>
  </si>
  <si>
    <t>浙（2018）北仑区不动产权第0024651号</t>
    <phoneticPr fontId="257" type="noConversion"/>
  </si>
  <si>
    <t>北仑区春晓镇春晓大道999号（乐享城）3幢204室</t>
  </si>
  <si>
    <t>浙（2018）北仑区不动产权第0024601号</t>
    <phoneticPr fontId="257" type="noConversion"/>
  </si>
  <si>
    <t>北仑区春晓镇春晓大道999号（乐享城）3幢205室</t>
  </si>
  <si>
    <t>浙（2018）北仑区不动产权第0024577号</t>
    <phoneticPr fontId="257" type="noConversion"/>
  </si>
  <si>
    <t>北仑区春晓镇春晓大道999号（乐享城）3幢206室</t>
  </si>
  <si>
    <t>浙（2018）北仑区不动产权第0024565号</t>
    <phoneticPr fontId="257" type="noConversion"/>
  </si>
  <si>
    <t>北仑区春晓镇春晓大道999号（乐享城）3幢207室</t>
  </si>
  <si>
    <t>浙（2018）北仑区不动产权第0024673号</t>
    <phoneticPr fontId="257" type="noConversion"/>
  </si>
  <si>
    <t>北仑区春晓镇春晓大道999号（乐享城）3幢208室</t>
  </si>
  <si>
    <t>浙（2018）北仑区不动产权第0024627号</t>
    <phoneticPr fontId="257" type="noConversion"/>
  </si>
  <si>
    <t>北仑区春晓镇春晓大道999号（乐享城）3幢209室</t>
  </si>
  <si>
    <t>浙（2018）北仑区不动产权第0024671号</t>
    <phoneticPr fontId="257" type="noConversion"/>
  </si>
  <si>
    <t>北仑区春晓镇春晓大道999号（乐享城）3幢210室</t>
  </si>
  <si>
    <t>浙（2018）北仑区不动产权第0024543号</t>
    <phoneticPr fontId="257" type="noConversion"/>
  </si>
  <si>
    <t>北仑区春晓镇春晓大道999号（乐享城）3幢211室</t>
  </si>
  <si>
    <t>浙（2018）北仑区不动产权第0024704号</t>
    <phoneticPr fontId="257" type="noConversion"/>
  </si>
  <si>
    <t>北仑区春晓镇春晓大道999号（乐享城）3幢212室</t>
  </si>
  <si>
    <t>浙（2018）北仑区不动产权第0024707号</t>
    <phoneticPr fontId="257" type="noConversion"/>
  </si>
  <si>
    <t>北仑区春晓镇春晓大道999号（乐享城）3幢213室</t>
  </si>
  <si>
    <t>浙（2018）北仑区不动产权第0024736号</t>
    <phoneticPr fontId="257" type="noConversion"/>
  </si>
  <si>
    <t>北仑区春晓镇春晓大道999号（乐享城）3幢214室</t>
  </si>
  <si>
    <t>浙（2018）北仑区不动产权第0024548号</t>
    <phoneticPr fontId="257" type="noConversion"/>
  </si>
  <si>
    <t>北仑区春晓镇春晓大道999号（乐享城）3幢215室</t>
  </si>
  <si>
    <t>浙（2018）北仑区不动产权第0024571号</t>
    <phoneticPr fontId="257" type="noConversion"/>
  </si>
  <si>
    <t>北仑区春晓镇春晓大道999号（乐享城）3幢216室</t>
  </si>
  <si>
    <t>浙（2018）北仑区不动产权第0024567号</t>
    <phoneticPr fontId="257" type="noConversion"/>
  </si>
  <si>
    <t>北仑区春晓镇春晓大道999号（乐享城）3幢217室</t>
  </si>
  <si>
    <t>浙（2018）北仑区不动产权第0024600号</t>
    <phoneticPr fontId="257" type="noConversion"/>
  </si>
  <si>
    <t>北仑区春晓镇春晓大道999号（乐享城）3幢218室</t>
  </si>
  <si>
    <t>浙（2018）北仑区不动产权第0024649号</t>
    <phoneticPr fontId="257" type="noConversion"/>
  </si>
  <si>
    <t>北仑区春晓镇春晓大道999号（乐享城）3幢219室</t>
  </si>
  <si>
    <t>浙（2018）北仑区不动产权第0024690号</t>
    <phoneticPr fontId="257" type="noConversion"/>
  </si>
  <si>
    <t>北仑区春晓镇春晓大道999号（乐享城）3幢220室</t>
  </si>
  <si>
    <t>浙（2018）北仑区不动产权第0024528号</t>
    <phoneticPr fontId="257" type="noConversion"/>
  </si>
  <si>
    <t>北仑区春晓镇春晓大道999号（乐享城）3幢221室</t>
  </si>
  <si>
    <t>浙（2018）北仑区不动产权第0024625号</t>
    <phoneticPr fontId="257" type="noConversion"/>
  </si>
  <si>
    <t>北仑区春晓镇春晓大道999号（乐享城）3幢222室</t>
    <phoneticPr fontId="3" type="noConversion"/>
  </si>
  <si>
    <t>浙（2018）北仑区不动产权第0024573号</t>
    <phoneticPr fontId="257" type="noConversion"/>
  </si>
  <si>
    <t>北仑区春晓镇春晓大道999号（乐享城）3幢301室</t>
    <phoneticPr fontId="3" type="noConversion"/>
  </si>
  <si>
    <t>浙（2018）北仑区不动产权第0024746号</t>
    <phoneticPr fontId="257" type="noConversion"/>
  </si>
  <si>
    <t>3层</t>
    <phoneticPr fontId="3" type="noConversion"/>
  </si>
  <si>
    <t>北仑区春晓镇春晓大道999号（乐享城）3幢302室</t>
  </si>
  <si>
    <t>浙（2018）北仑区不动产权第0024722号</t>
    <phoneticPr fontId="257" type="noConversion"/>
  </si>
  <si>
    <t>北仑区春晓镇春晓大道999号（乐享城）3幢303室</t>
  </si>
  <si>
    <t>浙（2018）北仑区不动产权第0024698号</t>
    <phoneticPr fontId="257" type="noConversion"/>
  </si>
  <si>
    <t>宁波万年基业文化旅游投资有限公司</t>
    <phoneticPr fontId="3" type="noConversion"/>
  </si>
  <si>
    <t>北仑区春晓镇春晓大道999号（乐享城）3幢304室</t>
  </si>
  <si>
    <t>浙（2018）北仑区不动产权第0024619号</t>
    <phoneticPr fontId="257" type="noConversion"/>
  </si>
  <si>
    <t>旅游用地</t>
    <phoneticPr fontId="3" type="noConversion"/>
  </si>
  <si>
    <t>北仑区春晓镇春晓大道999号（乐享城）3幢305室</t>
  </si>
  <si>
    <t>浙（2018）北仑区不动产权第0024635号</t>
    <phoneticPr fontId="257" type="noConversion"/>
  </si>
  <si>
    <t>北仑区春晓镇春晓大道999号（乐享城）3幢306室</t>
  </si>
  <si>
    <t>浙（2018）北仑区不动产权第0024699号</t>
    <phoneticPr fontId="257" type="noConversion"/>
  </si>
  <si>
    <t>北仑区春晓镇春晓大道999号（乐享城）3幢307室</t>
  </si>
  <si>
    <t>浙（2018）北仑区不动产权第0024660号</t>
    <phoneticPr fontId="257" type="noConversion"/>
  </si>
  <si>
    <t>北仑区春晓镇春晓大道999号（乐享城）3幢308室</t>
  </si>
  <si>
    <t>浙（2018）北仑区不动产权第0024545号</t>
    <phoneticPr fontId="257" type="noConversion"/>
  </si>
  <si>
    <t>北仑区春晓镇春晓大道999号（乐享城）3幢309室</t>
  </si>
  <si>
    <t>浙（2018）北仑区不动产权第0024602号</t>
    <phoneticPr fontId="257" type="noConversion"/>
  </si>
  <si>
    <t>北仑区春晓镇春晓大道999号（乐享城）3幢310室</t>
  </si>
  <si>
    <t>浙（2018）北仑区不动产权第0024697号</t>
    <phoneticPr fontId="257" type="noConversion"/>
  </si>
  <si>
    <t>北仑区春晓镇春晓大道999号（乐享城）3幢311室</t>
  </si>
  <si>
    <t>浙（2018）北仑区不动产权第0024718号</t>
    <phoneticPr fontId="257" type="noConversion"/>
  </si>
  <si>
    <t>北仑区春晓镇春晓大道999号（乐享城）3幢312室</t>
  </si>
  <si>
    <t>浙（2018）北仑区不动产权第0024637号</t>
    <phoneticPr fontId="257" type="noConversion"/>
  </si>
  <si>
    <t>北仑区春晓镇春晓大道999号（乐享城）3幢313室</t>
  </si>
  <si>
    <t>浙（2018）北仑区不动产权第0024552号</t>
    <phoneticPr fontId="257" type="noConversion"/>
  </si>
  <si>
    <t>北仑区春晓镇春晓大道999号（乐享城）3幢314室</t>
  </si>
  <si>
    <t>浙（2018）北仑区不动产权第0024677号</t>
    <phoneticPr fontId="257" type="noConversion"/>
  </si>
  <si>
    <t>北仑区春晓镇春晓大道999号（乐享城）3幢315室</t>
  </si>
  <si>
    <t>浙（2018）北仑区不动产权第0024633号</t>
    <phoneticPr fontId="257" type="noConversion"/>
  </si>
  <si>
    <t>北仑区春晓镇春晓大道999号（乐享城）3幢316室</t>
  </si>
  <si>
    <t>浙（2018）北仑区不动产权第0024655号</t>
    <phoneticPr fontId="257" type="noConversion"/>
  </si>
  <si>
    <t>北仑区春晓镇春晓大道999号（乐享城）3幢317室</t>
  </si>
  <si>
    <t>浙（2018）北仑区不动产权第0024631号</t>
    <phoneticPr fontId="257" type="noConversion"/>
  </si>
  <si>
    <t>北仑区春晓镇春晓大道999号（乐享城）3幢318室</t>
  </si>
  <si>
    <t>浙（2018）北仑区不动产权第0024526号</t>
    <phoneticPr fontId="257" type="noConversion"/>
  </si>
  <si>
    <t>北仑区春晓镇春晓大道999号（乐享城）3幢319室</t>
  </si>
  <si>
    <t>浙（2018）北仑区不动产权第0024529号</t>
    <phoneticPr fontId="257" type="noConversion"/>
  </si>
  <si>
    <t>北仑区春晓镇春晓大道999号（乐享城）3幢320室</t>
  </si>
  <si>
    <t>浙（2018）北仑区不动产权第0024611号</t>
    <phoneticPr fontId="257" type="noConversion"/>
  </si>
  <si>
    <t>旅游用地</t>
    <phoneticPr fontId="3" type="noConversion"/>
  </si>
  <si>
    <t>宁波万年基业文化旅游投资有限公司</t>
    <phoneticPr fontId="3" type="noConversion"/>
  </si>
  <si>
    <t>北仑区春晓镇春晓大道999号（乐享城）3幢321室</t>
  </si>
  <si>
    <t>浙（2018）北仑区不动产权第0024711号</t>
    <phoneticPr fontId="257" type="noConversion"/>
  </si>
  <si>
    <t>北仑区春晓镇春晓大道999号（乐享城）3幢322室</t>
    <phoneticPr fontId="3" type="noConversion"/>
  </si>
  <si>
    <t>浙（2018）北仑区不动产权第0024617号</t>
    <phoneticPr fontId="257" type="noConversion"/>
  </si>
  <si>
    <t>北仑区春晓镇春晓大道999号（乐享城）3幢401室</t>
    <phoneticPr fontId="3" type="noConversion"/>
  </si>
  <si>
    <t>浙（2018）北仑区不动产权第0024654号</t>
    <phoneticPr fontId="257" type="noConversion"/>
  </si>
  <si>
    <t>4层</t>
    <phoneticPr fontId="3" type="noConversion"/>
  </si>
  <si>
    <t>北仑区春晓镇春晓大道999号（乐享城）3幢402室</t>
  </si>
  <si>
    <t>浙（2018）北仑区不动产权第0024682号</t>
    <phoneticPr fontId="257" type="noConversion"/>
  </si>
  <si>
    <t>北仑区春晓镇春晓大道999号（乐享城）3幢403室</t>
  </si>
  <si>
    <t>浙（2018）北仑区不动产权第0024710号</t>
    <phoneticPr fontId="257" type="noConversion"/>
  </si>
  <si>
    <t>北仑区春晓镇春晓大道999号（乐享城）3幢404室</t>
  </si>
  <si>
    <t>浙（2018）北仑区不动产权第0024569号</t>
    <phoneticPr fontId="257" type="noConversion"/>
  </si>
  <si>
    <t>北仑区春晓镇春晓大道999号（乐享城）3幢405室</t>
  </si>
  <si>
    <t>浙（2018）北仑区不动产权第0024574号</t>
    <phoneticPr fontId="257" type="noConversion"/>
  </si>
  <si>
    <t>北仑区春晓镇春晓大道999号（乐享城）3幢406室</t>
  </si>
  <si>
    <t>浙（2018）北仑区不动产权第0024702号</t>
    <phoneticPr fontId="257" type="noConversion"/>
  </si>
  <si>
    <t>北仑区春晓镇春晓大道999号（乐享城）3幢407室</t>
  </si>
  <si>
    <t>浙（2018）北仑区不动产权第0024669号</t>
    <phoneticPr fontId="257" type="noConversion"/>
  </si>
  <si>
    <t>北仑区春晓镇春晓大道999号（乐享城）3幢408室</t>
  </si>
  <si>
    <t>浙（2018）北仑区不动产权第0024636号</t>
    <phoneticPr fontId="257" type="noConversion"/>
  </si>
  <si>
    <t>北仑区春晓镇春晓大道999号（乐享城）3幢409室</t>
  </si>
  <si>
    <t>浙（2018）北仑区不动产权第0024696号</t>
    <phoneticPr fontId="257" type="noConversion"/>
  </si>
  <si>
    <t>北仑区春晓镇春晓大道999号（乐享城）3幢410室</t>
  </si>
  <si>
    <t>浙（2018）北仑区不动产权第0024538号</t>
    <phoneticPr fontId="257" type="noConversion"/>
  </si>
  <si>
    <t>北仑区春晓镇春晓大道999号（乐享城）3幢411室</t>
  </si>
  <si>
    <t>浙（2018）北仑区不动产权第0024730号</t>
    <phoneticPr fontId="257" type="noConversion"/>
  </si>
  <si>
    <t>北仑区春晓镇春晓大道999号（乐享城）3幢412室</t>
  </si>
  <si>
    <t>浙（2018）北仑区不动产权第0024572号</t>
    <phoneticPr fontId="257" type="noConversion"/>
  </si>
  <si>
    <t>北仑区春晓镇春晓大道999号（乐享城）3幢413室</t>
  </si>
  <si>
    <t>浙（2018）北仑区不动产权第0024582号</t>
    <phoneticPr fontId="257" type="noConversion"/>
  </si>
  <si>
    <t>北仑区春晓镇春晓大道999号（乐享城）3幢414室</t>
  </si>
  <si>
    <t>浙（2018）北仑区不动产权第0024693号</t>
    <phoneticPr fontId="257" type="noConversion"/>
  </si>
  <si>
    <t>北仑区春晓镇春晓大道999号（乐享城）3幢415室</t>
  </si>
  <si>
    <t>浙（2018）北仑区不动产权第0024558号</t>
    <phoneticPr fontId="257" type="noConversion"/>
  </si>
  <si>
    <t>北仑区春晓镇春晓大道999号（乐享城）3幢416室</t>
  </si>
  <si>
    <t>浙（2018）北仑区不动产权第0024638号</t>
    <phoneticPr fontId="257" type="noConversion"/>
  </si>
  <si>
    <t>北仑区春晓镇春晓大道999号（乐享城）3幢417室</t>
  </si>
  <si>
    <t>浙（2018）北仑区不动产权第0024537号</t>
    <phoneticPr fontId="257" type="noConversion"/>
  </si>
  <si>
    <t>北仑区春晓镇春晓大道999号（乐享城）3幢418室</t>
  </si>
  <si>
    <t>浙（2018）北仑区不动产权第0024709号</t>
    <phoneticPr fontId="257" type="noConversion"/>
  </si>
  <si>
    <t>北仑区春晓镇春晓大道999号（乐享城）3幢419室</t>
  </si>
  <si>
    <t>浙（2018）北仑区不动产权第0024712号</t>
    <phoneticPr fontId="257" type="noConversion"/>
  </si>
  <si>
    <t>北仑区春晓镇春晓大道999号（乐享城）3幢420室</t>
  </si>
  <si>
    <t>浙（2018）北仑区不动产权第0024589号</t>
    <phoneticPr fontId="257" type="noConversion"/>
  </si>
  <si>
    <t>北仑区春晓镇春晓大道999号（乐享城）3幢421室</t>
  </si>
  <si>
    <t>浙（2018）北仑区不动产权第0024684号</t>
    <phoneticPr fontId="257" type="noConversion"/>
  </si>
  <si>
    <t>北仑区春晓镇春晓大道999号（乐享城）3幢422室</t>
    <phoneticPr fontId="3" type="noConversion"/>
  </si>
  <si>
    <t>浙（2018）北仑区不动产权第0024721号</t>
    <phoneticPr fontId="257" type="noConversion"/>
  </si>
  <si>
    <t>北仑区春晓镇春晓大道999号（乐享城）3幢501室</t>
    <phoneticPr fontId="3" type="noConversion"/>
  </si>
  <si>
    <t>浙（2018）北仑区不动产权第0024726号</t>
    <phoneticPr fontId="257" type="noConversion"/>
  </si>
  <si>
    <t>5层</t>
    <phoneticPr fontId="3" type="noConversion"/>
  </si>
  <si>
    <t>北仑区春晓镇春晓大道999号（乐享城）3幢502室</t>
  </si>
  <si>
    <t>浙（2018）北仑区不动产权第0024687号</t>
    <phoneticPr fontId="257" type="noConversion"/>
  </si>
  <si>
    <t>北仑区春晓镇春晓大道999号（乐享城）3幢503室</t>
  </si>
  <si>
    <t>浙（2018）北仑区不动产权第0024595号</t>
    <phoneticPr fontId="257" type="noConversion"/>
  </si>
  <si>
    <t>宁波万年基业文化旅游投资有限公司</t>
    <phoneticPr fontId="3" type="noConversion"/>
  </si>
  <si>
    <t>北仑区春晓镇春晓大道999号（乐享城）3幢504室</t>
  </si>
  <si>
    <t>浙（2018）北仑区不动产权第0024727号</t>
    <phoneticPr fontId="257" type="noConversion"/>
  </si>
  <si>
    <t>北仑区春晓镇春晓大道999号（乐享城）3幢505室</t>
  </si>
  <si>
    <t>浙（2018）北仑区不动产权第0024560号</t>
    <phoneticPr fontId="257" type="noConversion"/>
  </si>
  <si>
    <t>北仑区春晓镇春晓大道999号（乐享城）3幢506室</t>
  </si>
  <si>
    <t>浙（2018）北仑区不动产权第0024534号</t>
    <phoneticPr fontId="257" type="noConversion"/>
  </si>
  <si>
    <t>北仑区春晓镇春晓大道999号（乐享城）3幢507室</t>
  </si>
  <si>
    <t>浙（2018）北仑区不动产权第0024585号</t>
    <phoneticPr fontId="257" type="noConversion"/>
  </si>
  <si>
    <t>北仑区春晓镇春晓大道999号（乐享城）3幢508室</t>
  </si>
  <si>
    <t>浙（2018）北仑区不动产权第0024546号</t>
    <phoneticPr fontId="257" type="noConversion"/>
  </si>
  <si>
    <t>北仑区春晓镇春晓大道999号（乐享城）3幢509室</t>
  </si>
  <si>
    <t>浙（2018）北仑区不动产权第0024735号</t>
    <phoneticPr fontId="257" type="noConversion"/>
  </si>
  <si>
    <t>北仑区春晓镇春晓大道999号（乐享城）3幢510室</t>
  </si>
  <si>
    <t>浙（2018）北仑区不动产权第0024596号</t>
    <phoneticPr fontId="257" type="noConversion"/>
  </si>
  <si>
    <t>北仑区春晓镇春晓大道999号（乐享城）3幢511室</t>
  </si>
  <si>
    <t>浙（2018）北仑区不动产权第0024606号</t>
    <phoneticPr fontId="257" type="noConversion"/>
  </si>
  <si>
    <t>北仑区春晓镇春晓大道999号（乐享城）3幢512室</t>
  </si>
  <si>
    <t>浙（2018）北仑区不动产权第0024554号</t>
    <phoneticPr fontId="257" type="noConversion"/>
  </si>
  <si>
    <t>北仑区春晓镇春晓大道999号（乐享城）3幢513室</t>
  </si>
  <si>
    <t>浙（2018）北仑区不动产权第0024561号</t>
    <phoneticPr fontId="257" type="noConversion"/>
  </si>
  <si>
    <t>北仑区春晓镇春晓大道999号（乐享城）3幢514室</t>
  </si>
  <si>
    <t>浙（2018）北仑区不动产权第0024559号</t>
    <phoneticPr fontId="257" type="noConversion"/>
  </si>
  <si>
    <t>北仑区春晓镇春晓大道999号（乐享城）3幢515室</t>
  </si>
  <si>
    <t>浙（2018）北仑区不动产权第0024746号</t>
    <phoneticPr fontId="257" type="noConversion"/>
  </si>
  <si>
    <t>北仑区春晓镇春晓大道999号（乐享城）3幢516室</t>
  </si>
  <si>
    <t>浙（2018）北仑区不动产权第0024618号</t>
    <phoneticPr fontId="257" type="noConversion"/>
  </si>
  <si>
    <t>北仑区春晓镇春晓大道999号（乐享城）3幢517室</t>
  </si>
  <si>
    <t>浙（2018）北仑区不动产权第0024743号</t>
    <phoneticPr fontId="257" type="noConversion"/>
  </si>
  <si>
    <t>北仑区春晓镇春晓大道999号（乐享城）3幢518室</t>
  </si>
  <si>
    <t>浙（2018）北仑区不动产权第0024666号</t>
    <phoneticPr fontId="257" type="noConversion"/>
  </si>
  <si>
    <t>北仑区春晓镇春晓大道999号（乐享城）3幢519室</t>
  </si>
  <si>
    <t>浙（2018）北仑区不动产权第0024542号</t>
    <phoneticPr fontId="257" type="noConversion"/>
  </si>
  <si>
    <t>北仑区春晓镇春晓大道999号（乐享城）3幢520室</t>
  </si>
  <si>
    <t>浙（2018）北仑区不动产权第0024652号</t>
    <phoneticPr fontId="257" type="noConversion"/>
  </si>
  <si>
    <t>北仑区春晓镇春晓大道999号（乐享城）3幢521室</t>
    <phoneticPr fontId="3" type="noConversion"/>
  </si>
  <si>
    <t>浙（2018）北仑区不动产权第0024724号</t>
    <phoneticPr fontId="257" type="noConversion"/>
  </si>
  <si>
    <t>北仑区春晓镇春晓大道999号（乐享城）3幢601室</t>
    <phoneticPr fontId="3" type="noConversion"/>
  </si>
  <si>
    <t>浙（2018）北仑区不动产权第0024586号</t>
    <phoneticPr fontId="257" type="noConversion"/>
  </si>
  <si>
    <t>6层</t>
    <phoneticPr fontId="3" type="noConversion"/>
  </si>
  <si>
    <t>北仑区春晓镇春晓大道999号（乐享城）3幢602室</t>
  </si>
  <si>
    <t>浙（2018）北仑区不动产权第0024624号</t>
    <phoneticPr fontId="257" type="noConversion"/>
  </si>
  <si>
    <t>北仑区春晓镇春晓大道999号（乐享城）3幢603室</t>
  </si>
  <si>
    <t>浙（2018）北仑区不动产权第0024540号</t>
    <phoneticPr fontId="257" type="noConversion"/>
  </si>
  <si>
    <t>旅游用地</t>
    <phoneticPr fontId="3" type="noConversion"/>
  </si>
  <si>
    <t>北仑区春晓镇春晓大道999号（乐享城）3幢604室</t>
  </si>
  <si>
    <t>浙（2018）北仑区不动产权第0024557号</t>
    <phoneticPr fontId="257" type="noConversion"/>
  </si>
  <si>
    <t>北仑区春晓镇春晓大道999号（乐享城）3幢605室</t>
  </si>
  <si>
    <t>浙（2018）北仑区不动产权第0024612号</t>
    <phoneticPr fontId="257" type="noConversion"/>
  </si>
  <si>
    <t>北仑区春晓镇春晓大道999号（乐享城）3幢606室</t>
  </si>
  <si>
    <t>浙（2018）北仑区不动产权第0024555号</t>
    <phoneticPr fontId="257" type="noConversion"/>
  </si>
  <si>
    <t>北仑区春晓镇春晓大道999号（乐享城）3幢607室</t>
  </si>
  <si>
    <t>浙（2018）北仑区不动产权第0024680号</t>
    <phoneticPr fontId="257" type="noConversion"/>
  </si>
  <si>
    <t>北仑区春晓镇春晓大道999号（乐享城）3幢608室</t>
  </si>
  <si>
    <t>浙（2018）北仑区不动产权第0024738号</t>
    <phoneticPr fontId="257" type="noConversion"/>
  </si>
  <si>
    <t>北仑区春晓镇春晓大道999号（乐享城）3幢609室</t>
  </si>
  <si>
    <t>浙（2018）北仑区不动产权第0024599号</t>
    <phoneticPr fontId="257" type="noConversion"/>
  </si>
  <si>
    <t>北仑区春晓镇春晓大道999号（乐享城）3幢610室</t>
  </si>
  <si>
    <t>浙（2018）北仑区不动产权第0024639号</t>
    <phoneticPr fontId="257" type="noConversion"/>
  </si>
  <si>
    <t>北仑区春晓镇春晓大道999号（乐享城）3幢611室</t>
  </si>
  <si>
    <t>浙（2018）北仑区不动产权第0024562号</t>
    <phoneticPr fontId="257" type="noConversion"/>
  </si>
  <si>
    <t>北仑区春晓镇春晓大道999号（乐享城）3幢612室</t>
  </si>
  <si>
    <t>浙（2018）北仑区不动产权第0024549号</t>
    <phoneticPr fontId="257" type="noConversion"/>
  </si>
  <si>
    <t>北仑区春晓镇春晓大道999号（乐享城）3幢613室</t>
  </si>
  <si>
    <t>浙（2018）北仑区不动产权第0024733号</t>
    <phoneticPr fontId="257" type="noConversion"/>
  </si>
  <si>
    <t>北仑区春晓镇春晓大道999号（乐享城）3幢614室</t>
  </si>
  <si>
    <t>浙（2018）北仑区不动产权第0024616号</t>
    <phoneticPr fontId="257" type="noConversion"/>
  </si>
  <si>
    <t>北仑区春晓镇春晓大道999号（乐享城）3幢615室</t>
  </si>
  <si>
    <t>浙（2018）北仑区不动产权第0024628号</t>
    <phoneticPr fontId="257" type="noConversion"/>
  </si>
  <si>
    <t>北仑区春晓镇春晓大道999号（乐享城）3幢616室</t>
  </si>
  <si>
    <t>浙（2018）北仑区不动产权第0024657号</t>
    <phoneticPr fontId="257" type="noConversion"/>
  </si>
  <si>
    <t>北仑区春晓镇春晓大道999号（乐享城）3幢617室</t>
  </si>
  <si>
    <t>浙（2018）北仑区不动产权第0024686号</t>
    <phoneticPr fontId="257" type="noConversion"/>
  </si>
  <si>
    <t>北仑区春晓镇春晓大道999号（乐享城）3幢618室</t>
  </si>
  <si>
    <t>浙（2018）北仑区不动产权第0024527号</t>
    <phoneticPr fontId="257" type="noConversion"/>
  </si>
  <si>
    <t>北仑区春晓镇春晓大道999号（乐享城）3幢619室</t>
  </si>
  <si>
    <t>浙（2018）北仑区不动产权第0024695号</t>
    <phoneticPr fontId="257" type="noConversion"/>
  </si>
  <si>
    <t>北仑区春晓镇春晓大道999号（乐享城）3幢620室</t>
  </si>
  <si>
    <t>浙（2018）北仑区不动产权第0024725号</t>
    <phoneticPr fontId="257" type="noConversion"/>
  </si>
  <si>
    <t>北仑区春晓镇春晓大道999号（乐享城）3幢621室</t>
    <phoneticPr fontId="3" type="noConversion"/>
  </si>
  <si>
    <t>浙（2018）北仑区不动产权第0024706号</t>
    <phoneticPr fontId="257" type="noConversion"/>
  </si>
  <si>
    <t>北仑区春晓镇春晓大道999号（乐享城）3幢701室</t>
    <phoneticPr fontId="3" type="noConversion"/>
  </si>
  <si>
    <t>浙（2018）北仑区不动产权第0024717号</t>
    <phoneticPr fontId="257" type="noConversion"/>
  </si>
  <si>
    <t>7层</t>
    <phoneticPr fontId="3" type="noConversion"/>
  </si>
  <si>
    <t>北仑区春晓镇春晓大道999号（乐享城）3幢702室</t>
    <phoneticPr fontId="3" type="noConversion"/>
  </si>
  <si>
    <t>浙（2018）北仑区不动产权第0024550号</t>
    <phoneticPr fontId="257" type="noConversion"/>
  </si>
  <si>
    <t>北仑区春晓镇春晓大道999号（乐享城）3幢703室</t>
  </si>
  <si>
    <t>浙（2018）北仑区不动产权第0024740号</t>
    <phoneticPr fontId="257" type="noConversion"/>
  </si>
  <si>
    <t>北仑区春晓镇春晓大道999号（乐享城）3幢704室</t>
  </si>
  <si>
    <t>浙（2018）北仑区不动产权第0024544号</t>
    <phoneticPr fontId="257" type="noConversion"/>
  </si>
  <si>
    <t>北仑区春晓镇春晓大道999号（乐享城）3幢705室</t>
  </si>
  <si>
    <t>浙（2018）北仑区不动产权第0024581号</t>
    <phoneticPr fontId="257" type="noConversion"/>
  </si>
  <si>
    <t>北仑区春晓镇春晓大道999号（乐享城）3幢706室</t>
  </si>
  <si>
    <t>浙（2018）北仑区不动产权第0024597号</t>
    <phoneticPr fontId="257" type="noConversion"/>
  </si>
  <si>
    <t>北仑区春晓镇春晓大道999号（乐享城）3幢707室</t>
  </si>
  <si>
    <t>浙（2018）北仑区不动产权第0024592号</t>
    <phoneticPr fontId="257" type="noConversion"/>
  </si>
  <si>
    <t>北仑区春晓镇春晓大道999号（乐享城）3幢708室</t>
  </si>
  <si>
    <t>浙（2018）北仑区不动产权第0024626号</t>
    <phoneticPr fontId="257" type="noConversion"/>
  </si>
  <si>
    <t>北仑区春晓镇春晓大道999号（乐享城）3幢709室</t>
  </si>
  <si>
    <t>浙（2018）北仑区不动产权第0024646号</t>
    <phoneticPr fontId="257" type="noConversion"/>
  </si>
  <si>
    <t>北仑区春晓镇春晓大道999号（乐享城）3幢710室</t>
  </si>
  <si>
    <t>浙（2018）北仑区不动产权第0024603号</t>
    <phoneticPr fontId="257" type="noConversion"/>
  </si>
  <si>
    <t>北仑区春晓镇春晓大道999号（乐享城）3幢711室</t>
  </si>
  <si>
    <t>浙（2018）北仑区不动产权第0024648号</t>
    <phoneticPr fontId="257" type="noConversion"/>
  </si>
  <si>
    <t>北仑区春晓镇春晓大道999号（乐享城）3幢712室</t>
  </si>
  <si>
    <t>浙（2018）北仑区不动产权第0024661号</t>
    <phoneticPr fontId="257" type="noConversion"/>
  </si>
  <si>
    <t>北仑区春晓镇春晓大道999号（乐享城）3幢713室</t>
  </si>
  <si>
    <t>浙（2018）北仑区不动产权第0024598号</t>
    <phoneticPr fontId="257" type="noConversion"/>
  </si>
  <si>
    <t>北仑区春晓镇春晓大道999号（乐享城）3幢714室</t>
  </si>
  <si>
    <t>浙（2018）北仑区不动产权第0024630号</t>
    <phoneticPr fontId="257" type="noConversion"/>
  </si>
  <si>
    <t>北仑区春晓镇春晓大道999号（乐享城）3幢715室</t>
  </si>
  <si>
    <t>浙（2018）北仑区不动产权第0024683号</t>
    <phoneticPr fontId="257" type="noConversion"/>
  </si>
  <si>
    <t>北仑区春晓镇春晓大道999号（乐享城）3幢716室</t>
  </si>
  <si>
    <t>浙（2018）北仑区不动产权第0024747号</t>
    <phoneticPr fontId="257" type="noConversion"/>
  </si>
  <si>
    <t>北仑区春晓镇春晓大道999号（乐享城）3幢717室</t>
  </si>
  <si>
    <t>浙（2018）北仑区不动产权第0024532号</t>
    <phoneticPr fontId="257" type="noConversion"/>
  </si>
  <si>
    <t>北仑区春晓镇春晓大道999号（乐享城）3幢718室</t>
  </si>
  <si>
    <t>浙（2018）北仑区不动产权第0024524号</t>
    <phoneticPr fontId="257" type="noConversion"/>
  </si>
  <si>
    <t>北仑区春晓镇春晓大道999号（乐享城）3幢719室</t>
  </si>
  <si>
    <t>浙（2018）北仑区不动产权第0024685号</t>
    <phoneticPr fontId="257" type="noConversion"/>
  </si>
  <si>
    <t>北仑区春晓镇春晓大道999号（乐享城）3幢720室</t>
  </si>
  <si>
    <t>浙（2018）北仑区不动产权第0024622号</t>
    <phoneticPr fontId="257" type="noConversion"/>
  </si>
  <si>
    <t>北仑区春晓镇春晓大道999号（乐享城）3幢721室</t>
    <phoneticPr fontId="3" type="noConversion"/>
  </si>
  <si>
    <t>浙（2018）北仑区不动产权第0024728号</t>
    <phoneticPr fontId="257" type="noConversion"/>
  </si>
  <si>
    <t>北仑区春晓镇春晓大道999号（乐享城）3幢801室</t>
    <phoneticPr fontId="3" type="noConversion"/>
  </si>
  <si>
    <t>浙（2018）北仑区不动产权第0024737号</t>
    <phoneticPr fontId="257" type="noConversion"/>
  </si>
  <si>
    <t>8层</t>
    <phoneticPr fontId="3" type="noConversion"/>
  </si>
  <si>
    <t>北仑区春晓镇春晓大道999号（乐享城）3幢802室</t>
    <phoneticPr fontId="3" type="noConversion"/>
  </si>
  <si>
    <t>浙（2018）北仑区不动产权第0024705号</t>
    <phoneticPr fontId="257" type="noConversion"/>
  </si>
  <si>
    <t>北仑区春晓镇春晓大道999号（乐享城）3幢803室</t>
  </si>
  <si>
    <t>浙（2018）北仑区不动产权第0024623号</t>
    <phoneticPr fontId="257" type="noConversion"/>
  </si>
  <si>
    <t>北仑区春晓镇春晓大道999号（乐享城）3幢804室</t>
  </si>
  <si>
    <t>浙（2018）北仑区不动产权第0024665号</t>
    <phoneticPr fontId="257" type="noConversion"/>
  </si>
  <si>
    <t>北仑区春晓镇春晓大道999号（乐享城）3幢805室</t>
  </si>
  <si>
    <t>浙（2018）北仑区不动产权第0024720号</t>
    <phoneticPr fontId="257" type="noConversion"/>
  </si>
  <si>
    <t>北仑区春晓镇春晓大道999号（乐享城）3幢806室</t>
  </si>
  <si>
    <t>浙（2018）北仑区不动产权第0024678号</t>
    <phoneticPr fontId="257" type="noConversion"/>
  </si>
  <si>
    <t>北仑区春晓镇春晓大道999号（乐享城）3幢807室</t>
  </si>
  <si>
    <t>浙（2018）北仑区不动产权第0024553号</t>
    <phoneticPr fontId="257" type="noConversion"/>
  </si>
  <si>
    <t>北仑区春晓镇春晓大道999号（乐享城）3幢808室</t>
  </si>
  <si>
    <t>浙（2018）北仑区不动产权第0024729号</t>
    <phoneticPr fontId="257" type="noConversion"/>
  </si>
  <si>
    <t>北仑区春晓镇春晓大道999号（乐享城）3幢809室</t>
  </si>
  <si>
    <t>浙（2018）北仑区不动产权第0024632号</t>
    <phoneticPr fontId="257" type="noConversion"/>
  </si>
  <si>
    <t>北仑区春晓镇春晓大道999号（乐享城）3幢810室</t>
  </si>
  <si>
    <t>浙（2018）北仑区不动产权第0024566号</t>
    <phoneticPr fontId="257" type="noConversion"/>
  </si>
  <si>
    <t>北仑区春晓镇春晓大道999号（乐享城）3幢811室</t>
  </si>
  <si>
    <t>浙（2018）北仑区不动产权第0024689号</t>
    <phoneticPr fontId="257" type="noConversion"/>
  </si>
  <si>
    <t>北仑区春晓镇春晓大道999号（乐享城）3幢812室</t>
  </si>
  <si>
    <t>浙（2018）北仑区不动产权第0024650号</t>
    <phoneticPr fontId="257" type="noConversion"/>
  </si>
  <si>
    <t>北仑区春晓镇春晓大道999号（乐享城）3幢813室</t>
  </si>
  <si>
    <t>浙（2018）北仑区不动产权第0024590号</t>
    <phoneticPr fontId="257" type="noConversion"/>
  </si>
  <si>
    <t>北仑区春晓镇春晓大道999号（乐享城）3幢814室</t>
  </si>
  <si>
    <t>浙（2018）北仑区不动产权第0024608号</t>
    <phoneticPr fontId="257" type="noConversion"/>
  </si>
  <si>
    <t>北仑区春晓镇春晓大道999号（乐享城）3幢815室</t>
  </si>
  <si>
    <t>浙（2018）北仑区不动产权第0024563号</t>
    <phoneticPr fontId="257" type="noConversion"/>
  </si>
  <si>
    <t>北仑区春晓镇春晓大道999号（乐享城）3幢816室</t>
  </si>
  <si>
    <t>浙（2018）北仑区不动产权第0024716号</t>
    <phoneticPr fontId="257" type="noConversion"/>
  </si>
  <si>
    <t>北仑区春晓镇春晓大道999号（乐享城）3幢817室</t>
  </si>
  <si>
    <t>浙（2018）北仑区不动产权第0024605号</t>
    <phoneticPr fontId="257" type="noConversion"/>
  </si>
  <si>
    <t>北仑区春晓镇春晓大道999号（乐享城）3幢818室</t>
  </si>
  <si>
    <t>浙（2018）北仑区不动产权第0024742号</t>
    <phoneticPr fontId="257" type="noConversion"/>
  </si>
  <si>
    <t>北仑区春晓镇春晓大道999号（乐享城）3幢819室</t>
  </si>
  <si>
    <t>浙（2018）北仑区不动产权第0024674号</t>
    <phoneticPr fontId="257" type="noConversion"/>
  </si>
  <si>
    <t>北仑区春晓镇春晓大道999号（乐享城）3幢820室</t>
  </si>
  <si>
    <t>浙（2018）北仑区不动产权第0024583号</t>
    <phoneticPr fontId="257" type="noConversion"/>
  </si>
  <si>
    <t>北仑区春晓镇春晓大道999号（乐享城）3幢821室</t>
    <phoneticPr fontId="3" type="noConversion"/>
  </si>
  <si>
    <t>浙（2018）北仑区不动产权第0024614号</t>
    <phoneticPr fontId="257" type="noConversion"/>
  </si>
  <si>
    <t>北仑区春晓镇春晓大道999号（乐享城）3幢901室</t>
    <phoneticPr fontId="3" type="noConversion"/>
  </si>
  <si>
    <t>浙（2018）北仑区不动产权第0024621号</t>
    <phoneticPr fontId="257" type="noConversion"/>
  </si>
  <si>
    <t>9层</t>
    <phoneticPr fontId="3" type="noConversion"/>
  </si>
  <si>
    <t>北仑区春晓镇春晓大道999号（乐享城）3幢902室</t>
  </si>
  <si>
    <t>浙（2018）北仑区不动产权第0024541号</t>
    <phoneticPr fontId="257" type="noConversion"/>
  </si>
  <si>
    <t>北仑区春晓镇春晓大道999号（乐享城）3幢903室</t>
  </si>
  <si>
    <t>浙（2018）北仑区不动产权第0024568号</t>
    <phoneticPr fontId="257" type="noConversion"/>
  </si>
  <si>
    <t>北仑区春晓镇春晓大道999号（乐享城）3幢904室</t>
  </si>
  <si>
    <t>浙（2018）北仑区不动产权第0024692号</t>
    <phoneticPr fontId="257" type="noConversion"/>
  </si>
  <si>
    <t>北仑区春晓镇春晓大道999号（乐享城）3幢905室</t>
  </si>
  <si>
    <t>浙（2018）北仑区不动产权第0024675号</t>
    <phoneticPr fontId="257" type="noConversion"/>
  </si>
  <si>
    <t>北仑区春晓镇春晓大道999号（乐享城）3幢906室</t>
  </si>
  <si>
    <t>浙（2018）北仑区不动产权第0024662号</t>
    <phoneticPr fontId="257" type="noConversion"/>
  </si>
  <si>
    <t>北仑区春晓镇春晓大道999号（乐享城）3幢907室</t>
  </si>
  <si>
    <t>浙（2018）北仑区不动产权第0024659号</t>
    <phoneticPr fontId="257" type="noConversion"/>
  </si>
  <si>
    <t>北仑区春晓镇春晓大道999号（乐享城）3幢908室</t>
  </si>
  <si>
    <t>浙（2018）北仑区不动产权第0024575号</t>
    <phoneticPr fontId="257" type="noConversion"/>
  </si>
  <si>
    <t>北仑区春晓镇春晓大道999号（乐享城）3幢909室</t>
  </si>
  <si>
    <t>浙（2018）北仑区不动产权第0024647号</t>
    <phoneticPr fontId="257" type="noConversion"/>
  </si>
  <si>
    <t>北仑区春晓镇春晓大道999号（乐享城）3幢910室</t>
  </si>
  <si>
    <t>浙（2018）北仑区不动产权第0024679号</t>
    <phoneticPr fontId="257" type="noConversion"/>
  </si>
  <si>
    <t>北仑区春晓镇春晓大道999号（乐享城）3幢911室</t>
  </si>
  <si>
    <t>浙（2018）北仑区不动产权第0024741号</t>
    <phoneticPr fontId="257" type="noConversion"/>
  </si>
  <si>
    <t>北仑区春晓镇春晓大道999号（乐享城）3幢912室</t>
  </si>
  <si>
    <t>浙（2018）北仑区不动产权第0024615号</t>
    <phoneticPr fontId="257" type="noConversion"/>
  </si>
  <si>
    <t>北仑区春晓镇春晓大道999号（乐享城）3幢913室</t>
  </si>
  <si>
    <t>浙（2018）北仑区不动产权第0024701号</t>
    <phoneticPr fontId="257" type="noConversion"/>
  </si>
  <si>
    <t>北仑区春晓镇春晓大道999号（乐享城）3幢914室</t>
  </si>
  <si>
    <t>浙（2018）北仑区不动产权第0024536号</t>
    <phoneticPr fontId="257" type="noConversion"/>
  </si>
  <si>
    <t>北仑区春晓镇春晓大道999号（乐享城）3幢915室</t>
  </si>
  <si>
    <t>浙（2018）北仑区不动产权第0024732号</t>
    <phoneticPr fontId="257" type="noConversion"/>
  </si>
  <si>
    <t>北仑区春晓镇春晓大道999号（乐享城）3幢916室</t>
  </si>
  <si>
    <t>浙（2018）北仑区不动产权第0024525号</t>
    <phoneticPr fontId="257" type="noConversion"/>
  </si>
  <si>
    <t>北仑区春晓镇春晓大道999号（乐享城）3幢917室</t>
  </si>
  <si>
    <t>浙（2018）北仑区不动产权第0024644号</t>
    <phoneticPr fontId="257" type="noConversion"/>
  </si>
  <si>
    <t>北仑区春晓镇春晓大道999号（乐享城）3幢918室</t>
  </si>
  <si>
    <t>浙（2018）北仑区不动产权第0024708号</t>
    <phoneticPr fontId="257" type="noConversion"/>
  </si>
  <si>
    <t>北仑区春晓镇春晓大道999号（乐享城）3幢919室</t>
  </si>
  <si>
    <t>浙（2018）北仑区不动产权第0024714号</t>
    <phoneticPr fontId="257" type="noConversion"/>
  </si>
  <si>
    <t>北仑区春晓镇春晓大道999号（乐享城）3幢920室</t>
  </si>
  <si>
    <t>浙（2018）北仑区不动产权第0024610号</t>
    <phoneticPr fontId="257" type="noConversion"/>
  </si>
  <si>
    <t>北仑区春晓镇春晓大道999号（乐享城）3幢921室</t>
  </si>
  <si>
    <t>浙（2018）北仑区不动产权第0024703号</t>
    <phoneticPr fontId="257" type="noConversion"/>
  </si>
  <si>
    <t>北仑区春晓镇春晓大道999号（乐享城）3幢922室</t>
  </si>
  <si>
    <t>浙（2018）北仑区不动产权第0024613号</t>
    <phoneticPr fontId="257" type="noConversion"/>
  </si>
  <si>
    <t>北仑区春晓镇春晓大道999号（乐享城）3幢923室</t>
    <phoneticPr fontId="3" type="noConversion"/>
  </si>
  <si>
    <t>浙（2018）北仑区不动产权第0024713号</t>
    <phoneticPr fontId="257" type="noConversion"/>
  </si>
  <si>
    <t>北仑区春晓镇春晓大道999号（乐享城）3幢1001室</t>
    <phoneticPr fontId="3" type="noConversion"/>
  </si>
  <si>
    <t>浙（2018）北仑区不动产权第0024584号</t>
    <phoneticPr fontId="257" type="noConversion"/>
  </si>
  <si>
    <t>10层</t>
    <phoneticPr fontId="3" type="noConversion"/>
  </si>
  <si>
    <t>北仑区春晓镇春晓大道999号（乐享城）3幢1002室</t>
    <phoneticPr fontId="3" type="noConversion"/>
  </si>
  <si>
    <t>浙（2018）北仑区不动产权第0024556号</t>
    <phoneticPr fontId="257" type="noConversion"/>
  </si>
  <si>
    <t>宁波万年基业文化旅游投资有限公司</t>
    <phoneticPr fontId="3" type="noConversion"/>
  </si>
  <si>
    <t>北仑区春晓镇春晓大道999号（乐享城）3幢1003室</t>
  </si>
  <si>
    <t>浙（2018）北仑区不动产权第0024640号</t>
    <phoneticPr fontId="257" type="noConversion"/>
  </si>
  <si>
    <t>旅游用地</t>
    <phoneticPr fontId="3" type="noConversion"/>
  </si>
  <si>
    <t>北仑区春晓镇春晓大道999号（乐享城）3幢1004室</t>
  </si>
  <si>
    <t>浙（2018）北仑区不动产权第0024748号</t>
    <phoneticPr fontId="257" type="noConversion"/>
  </si>
  <si>
    <t>北仑区春晓镇春晓大道999号（乐享城）3幢1005室</t>
  </si>
  <si>
    <t>浙（2018）北仑区不动产权第0024645号</t>
    <phoneticPr fontId="257" type="noConversion"/>
  </si>
  <si>
    <t>北仑区春晓镇春晓大道999号（乐享城）3幢1006室</t>
  </si>
  <si>
    <t>浙（2018）北仑区不动产权第0024653号</t>
    <phoneticPr fontId="257" type="noConversion"/>
  </si>
  <si>
    <t>北仑区春晓镇春晓大道999号（乐享城）3幢1007室</t>
  </si>
  <si>
    <t>浙（2018）北仑区不动产权第0024539号</t>
    <phoneticPr fontId="257" type="noConversion"/>
  </si>
  <si>
    <t>北仑区春晓镇春晓大道999号（乐享城）3幢1008室</t>
  </si>
  <si>
    <t>浙（2018）北仑区不动产权第0024681号</t>
    <phoneticPr fontId="257" type="noConversion"/>
  </si>
  <si>
    <t>北仑区春晓镇春晓大道999号（乐享城）3幢1009室</t>
  </si>
  <si>
    <t>浙（2018）北仑区不动产权第0024694号</t>
    <phoneticPr fontId="257" type="noConversion"/>
  </si>
  <si>
    <t>北仑区春晓镇春晓大道999号（乐享城）3幢1010室</t>
  </si>
  <si>
    <t>浙（2018）北仑区不动产权第0024604号</t>
    <phoneticPr fontId="257" type="noConversion"/>
  </si>
  <si>
    <t>北仑区春晓镇春晓大道999号（乐享城）3幢1011室</t>
  </si>
  <si>
    <t>浙（2018）北仑区不动产权第0024715号</t>
    <phoneticPr fontId="257" type="noConversion"/>
  </si>
  <si>
    <t>北仑区春晓镇春晓大道999号（乐享城）3幢1012室</t>
  </si>
  <si>
    <t>浙（2018）北仑区不动产权第0024642号</t>
    <phoneticPr fontId="257" type="noConversion"/>
  </si>
  <si>
    <t>北仑区春晓镇春晓大道999号（乐享城）3幢1013室</t>
  </si>
  <si>
    <t>浙（2018）北仑区不动产权第0024688号</t>
    <phoneticPr fontId="257" type="noConversion"/>
  </si>
  <si>
    <t>北仑区春晓镇春晓大道999号（乐享城）3幢1014室</t>
  </si>
  <si>
    <t>浙（2018）北仑区不动产权第0024564号</t>
    <phoneticPr fontId="257" type="noConversion"/>
  </si>
  <si>
    <t>北仑区春晓镇春晓大道999号（乐享城）3幢1015室</t>
  </si>
  <si>
    <t>浙（2018）北仑区不动产权第0024576号</t>
    <phoneticPr fontId="257" type="noConversion"/>
  </si>
  <si>
    <t>北仑区春晓镇春晓大道999号（乐享城）3幢1016室</t>
  </si>
  <si>
    <t>浙（2018）北仑区不动产权第0024672号</t>
    <phoneticPr fontId="257" type="noConversion"/>
  </si>
  <si>
    <t>北仑区春晓镇春晓大道999号（乐享城）3幢1017室</t>
  </si>
  <si>
    <t>浙（2018）北仑区不动产权第0024594号</t>
    <phoneticPr fontId="257" type="noConversion"/>
  </si>
  <si>
    <t>北仑区春晓镇春晓大道999号（乐享城）3幢1018室</t>
  </si>
  <si>
    <t>浙（2018）北仑区不动产权第0024723号</t>
    <phoneticPr fontId="257" type="noConversion"/>
  </si>
  <si>
    <t>北仑区春晓镇春晓大道999号（乐享城）3幢1019室</t>
  </si>
  <si>
    <t>浙（2018）北仑区不动产权第0024700号</t>
    <phoneticPr fontId="257" type="noConversion"/>
  </si>
  <si>
    <t>北仑区春晓镇春晓大道999号（乐享城）3幢1020室</t>
  </si>
  <si>
    <t>浙（2018）北仑区不动产权第0024656号</t>
    <phoneticPr fontId="257" type="noConversion"/>
  </si>
  <si>
    <t>北仑区春晓镇春晓大道999号（乐享城）3幢1021室</t>
  </si>
  <si>
    <t>浙（2018）北仑区不动产权第0024578号</t>
    <phoneticPr fontId="257" type="noConversion"/>
  </si>
  <si>
    <t>北仑区春晓镇春晓大道999号（乐享城）3幢1022室</t>
  </si>
  <si>
    <t>浙（2018）北仑区不动产权第0024547号</t>
    <phoneticPr fontId="257" type="noConversion"/>
  </si>
  <si>
    <t>北仑区春晓镇春晓大道999号（乐享城）3幢1023室</t>
    <phoneticPr fontId="3" type="noConversion"/>
  </si>
  <si>
    <t>浙（2018）北仑区不动产权第0024551号</t>
    <phoneticPr fontId="257" type="noConversion"/>
  </si>
  <si>
    <t>北仑区春晓镇春晓大道999号（乐享城）3幢1101室</t>
    <phoneticPr fontId="3" type="noConversion"/>
  </si>
  <si>
    <t>浙（2018）北仑区不动产权第0024719号</t>
    <phoneticPr fontId="257" type="noConversion"/>
  </si>
  <si>
    <t>11层</t>
    <phoneticPr fontId="3" type="noConversion"/>
  </si>
  <si>
    <t>北仑区春晓镇春晓大道999号（乐享城）3幢1102室</t>
    <phoneticPr fontId="3" type="noConversion"/>
  </si>
  <si>
    <t>浙（2018）北仑区不动产权第0024734号</t>
    <phoneticPr fontId="257" type="noConversion"/>
  </si>
  <si>
    <t>北仑区春晓镇春晓大道999号（乐享城）3幢1103室</t>
  </si>
  <si>
    <t>浙（2018）北仑区不动产权第0024580号</t>
    <phoneticPr fontId="257" type="noConversion"/>
  </si>
  <si>
    <t>北仑区春晓镇春晓大道999号（乐享城）3幢1104室</t>
  </si>
  <si>
    <t>浙（2018）北仑区不动产权第0024641号</t>
    <phoneticPr fontId="257" type="noConversion"/>
  </si>
  <si>
    <t>北仑区春晓镇春晓大道999号（乐享城）3幢1105室</t>
  </si>
  <si>
    <t>浙（2018）北仑区不动产权第0024664号</t>
    <phoneticPr fontId="257" type="noConversion"/>
  </si>
  <si>
    <t>北仑区春晓镇春晓大道999号（乐享城）3幢1106室</t>
  </si>
  <si>
    <t>浙（2018）北仑区不动产权第0024530号</t>
    <phoneticPr fontId="257" type="noConversion"/>
  </si>
  <si>
    <t>北仑区春晓镇春晓大道999号（乐享城）3幢1107室</t>
  </si>
  <si>
    <t>浙（2018）北仑区不动产权第0024691号</t>
    <phoneticPr fontId="257" type="noConversion"/>
  </si>
  <si>
    <t>北仑区春晓镇春晓大道999号（乐享城）3幢1108室</t>
  </si>
  <si>
    <t>浙（2018）北仑区不动产权第0024531号</t>
    <phoneticPr fontId="257" type="noConversion"/>
  </si>
  <si>
    <t>旅游用地</t>
    <phoneticPr fontId="3" type="noConversion"/>
  </si>
  <si>
    <t>宁波万年基业文化旅游投资有限公司</t>
    <phoneticPr fontId="3" type="noConversion"/>
  </si>
  <si>
    <t>北仑区春晓镇春晓大道999号（乐享城）3幢1109室</t>
  </si>
  <si>
    <t>浙（2018）北仑区不动产权第0024676号</t>
    <phoneticPr fontId="257" type="noConversion"/>
  </si>
  <si>
    <t>北仑区春晓镇春晓大道999号（乐享城）3幢1110室</t>
  </si>
  <si>
    <t>浙（2018）北仑区不动产权第0024667号</t>
    <phoneticPr fontId="257" type="noConversion"/>
  </si>
  <si>
    <t>北仑区春晓镇春晓大道999号（乐享城）3幢1111室</t>
  </si>
  <si>
    <t>浙（2018）北仑区不动产权第0024643号</t>
    <phoneticPr fontId="257" type="noConversion"/>
  </si>
  <si>
    <t>北仑区春晓镇春晓大道999号（乐享城）3幢1112室</t>
  </si>
  <si>
    <t>浙（2018）北仑区不动产权第0024670号</t>
    <phoneticPr fontId="257" type="noConversion"/>
  </si>
  <si>
    <t>合计</t>
    <phoneticPr fontId="257" type="noConversion"/>
  </si>
  <si>
    <t>7号公寓楼不动产权证情况</t>
    <phoneticPr fontId="3" type="noConversion"/>
  </si>
  <si>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</si>
  <si>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</si>
  <si>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</si>
  <si>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</si>
  <si>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</si>
  <si>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</si>
  <si>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</si>
  <si>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</si>
  <si>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</si>
  <si>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</si>
  <si>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</si>
  <si>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</si>
  <si>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北仑区春晓镇春晓大道999号（乐享城）7幢101室</t>
    <phoneticPr fontId="3" type="noConversion"/>
  </si>
  <si>
    <t>浙（2018）北仑区不动产权第0017738号</t>
  </si>
  <si>
    <t>旅游用地</t>
    <phoneticPr fontId="3" type="noConversion"/>
  </si>
  <si>
    <t xml:space="preserve">10层 </t>
    <phoneticPr fontId="3" type="noConversion"/>
  </si>
  <si>
    <t>1层</t>
    <phoneticPr fontId="3" type="noConversion"/>
  </si>
  <si>
    <t>北仑区春晓镇春晓大道999号（乐享城）7幢102室</t>
  </si>
  <si>
    <t>浙（2018）北仑区不动产权第0017675号</t>
  </si>
  <si>
    <t>北仑区春晓镇春晓大道999号（乐享城）7幢103室</t>
  </si>
  <si>
    <t>浙（2018）北仑区不动产权第0017722号</t>
  </si>
  <si>
    <t>宁波万年基业文化旅游投资有限公司</t>
    <phoneticPr fontId="3" type="noConversion"/>
  </si>
  <si>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</si>
  <si>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</si>
  <si>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</si>
  <si>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</si>
  <si>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</si>
  <si>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</si>
  <si>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</si>
  <si>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</si>
  <si>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宁波万年基业文化旅游投资有限公司</t>
    <phoneticPr fontId="3" type="noConversion"/>
  </si>
  <si>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</si>
  <si>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</si>
  <si>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</si>
  <si>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</si>
  <si>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</si>
  <si>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</si>
  <si>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</si>
  <si>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</si>
  <si>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</si>
  <si>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</si>
  <si>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</si>
  <si>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</si>
  <si>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2层</t>
    <phoneticPr fontId="3" type="noConversion"/>
  </si>
  <si>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</si>
  <si>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</si>
  <si>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</si>
  <si>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</si>
  <si>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</si>
  <si>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</si>
  <si>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</si>
  <si>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</si>
  <si>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</si>
  <si>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</si>
  <si>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</si>
  <si>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</si>
  <si>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</si>
  <si>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</si>
  <si>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</si>
  <si>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</si>
  <si>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</si>
  <si>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</si>
  <si>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</si>
  <si>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</si>
  <si>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</si>
  <si>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</si>
  <si>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</si>
  <si>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</si>
  <si>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</si>
  <si>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</si>
  <si>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</si>
  <si>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</si>
  <si>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</si>
  <si>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</si>
  <si>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</si>
  <si>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</si>
  <si>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</si>
  <si>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</si>
  <si>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</si>
  <si>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</si>
  <si>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宁波万年基业文化旅游投资有限公司</t>
    <phoneticPr fontId="3" type="noConversion"/>
  </si>
  <si>
    <t>北仑区春晓镇春晓大道999号（乐享城）7幢306室</t>
  </si>
  <si>
    <t>浙（2018）北仑区不动产权第0017650号</t>
  </si>
  <si>
    <t>宁波万年基业文化旅游投资有限公司</t>
    <phoneticPr fontId="3" type="noConversion"/>
  </si>
  <si>
    <t>北仑区春晓镇春晓大道999号（乐享城）7幢307室</t>
  </si>
  <si>
    <t>浙（2018）北仑区不动产权第0017688号</t>
  </si>
  <si>
    <t>宁波万年基业文化旅游投资有限公司</t>
    <phoneticPr fontId="3" type="noConversion"/>
  </si>
  <si>
    <t>北仑区春晓镇春晓大道999号（乐享城）7幢308室</t>
  </si>
  <si>
    <t>浙（2018）北仑区不动产权第0017721号</t>
  </si>
  <si>
    <t>宁波万年基业文化旅游投资有限公司</t>
    <phoneticPr fontId="3" type="noConversion"/>
  </si>
  <si>
    <t>北仑区春晓镇春晓大道999号（乐享城）7幢309室</t>
  </si>
  <si>
    <t>浙（2018）北仑区不动产权第0017730号</t>
  </si>
  <si>
    <t>宁波万年基业文化旅游投资有限公司</t>
    <phoneticPr fontId="3" type="noConversion"/>
  </si>
  <si>
    <t>北仑区春晓镇春晓大道999号（乐享城）7幢310室</t>
  </si>
  <si>
    <t>浙（2018）北仑区不动产权第0017661号</t>
  </si>
  <si>
    <t>北仑区春晓镇春晓大道999号（乐享城）7幢311室</t>
  </si>
  <si>
    <t>浙（2018）北仑区不动产权第0017689号</t>
  </si>
  <si>
    <t>北仑区春晓镇春晓大道999号（乐享城）7幢312室</t>
  </si>
  <si>
    <t>浙（2018）北仑区不动产权第0017724号</t>
  </si>
  <si>
    <t>宁波万年基业文化旅游投资有限公司</t>
    <phoneticPr fontId="3" type="noConversion"/>
  </si>
  <si>
    <t>北仑区春晓镇春晓大道999号（乐享城）7幢313室</t>
  </si>
  <si>
    <t>浙（2018）北仑区不动产权第0017695号</t>
  </si>
  <si>
    <t>北仑区春晓镇春晓大道999号（乐享城）7幢314室</t>
    <phoneticPr fontId="3" type="noConversion"/>
  </si>
  <si>
    <t>浙（2018）北仑区不动产权第0017644号</t>
  </si>
  <si>
    <t>宁波万年基业文化旅游投资有限公司</t>
    <phoneticPr fontId="3" type="noConversion"/>
  </si>
  <si>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</si>
  <si>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</si>
  <si>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</si>
  <si>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</si>
  <si>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</si>
  <si>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宁波万年基业文化旅游投资有限公司</t>
    <phoneticPr fontId="3" type="noConversion"/>
  </si>
  <si>
    <t>北仑区春晓镇春晓大道999号（乐享城）7幢403室</t>
  </si>
  <si>
    <t>浙（2018）北仑区不动产权第0017745号</t>
  </si>
  <si>
    <t>北仑区春晓镇春晓大道999号（乐享城）7幢404室</t>
  </si>
  <si>
    <t>浙（2018）北仑区不动产权第0017699号</t>
  </si>
  <si>
    <t>宁波万年基业文化旅游投资有限公司</t>
    <phoneticPr fontId="3" type="noConversion"/>
  </si>
  <si>
    <t>北仑区春晓镇春晓大道999号（乐享城）7幢405室</t>
  </si>
  <si>
    <t>浙（2018）北仑区不动产权第0017702号</t>
  </si>
  <si>
    <t>北仑区春晓镇春晓大道999号（乐享城）7幢406室</t>
  </si>
  <si>
    <t>浙（2018）北仑区不动产权第0017748号</t>
  </si>
  <si>
    <t>宁波万年基业文化旅游投资有限公司</t>
    <phoneticPr fontId="3" type="noConversion"/>
  </si>
  <si>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</si>
  <si>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</si>
  <si>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</si>
  <si>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</si>
  <si>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</si>
  <si>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</si>
  <si>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宁波万年基业文化旅游投资有限公司</t>
    <phoneticPr fontId="3" type="noConversion"/>
  </si>
  <si>
    <t>北仑区春晓镇春晓大道999号（乐享城）7幢410室</t>
  </si>
  <si>
    <t>浙（2018）北仑区不动产权第0017669号</t>
  </si>
  <si>
    <t>北仑区春晓镇春晓大道999号（乐享城）7幢411室</t>
  </si>
  <si>
    <t>浙（2018）北仑区不动产权第0017716号</t>
  </si>
  <si>
    <t>北仑区春晓镇春晓大道999号（乐享城）7幢412室</t>
  </si>
  <si>
    <t>浙（2018）北仑区不动产权第0017686号</t>
  </si>
  <si>
    <t>宁波万年基业文化旅游投资有限公司</t>
    <phoneticPr fontId="3" type="noConversion"/>
  </si>
  <si>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</si>
  <si>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</si>
  <si>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</si>
  <si>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</si>
  <si>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</si>
  <si>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</si>
  <si>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</si>
  <si>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</si>
  <si>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</si>
  <si>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</si>
  <si>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</si>
  <si>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</si>
  <si>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</si>
  <si>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</si>
  <si>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</si>
  <si>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</si>
  <si>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</si>
  <si>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宁波万年基业文化旅游投资有限公司</t>
    <phoneticPr fontId="3" type="noConversion"/>
  </si>
  <si>
    <t>北仑区春晓镇春晓大道999号（乐享城）7幢507室</t>
  </si>
  <si>
    <t>浙（2018）北仑区不动产权第0017677号</t>
  </si>
  <si>
    <t>北仑区春晓镇春晓大道999号（乐享城）7幢508室</t>
  </si>
  <si>
    <t>浙（2018）北仑区不动产权第0017733号</t>
  </si>
  <si>
    <t>宁波万年基业文化旅游投资有限公司</t>
    <phoneticPr fontId="3" type="noConversion"/>
  </si>
  <si>
    <t>北仑区春晓镇春晓大道999号（乐享城）7幢509室</t>
  </si>
  <si>
    <t>浙（2018）北仑区不动产权第0017652号</t>
  </si>
  <si>
    <t>宁波万年基业文化旅游投资有限公司</t>
    <phoneticPr fontId="3" type="noConversion"/>
  </si>
  <si>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</si>
  <si>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</si>
  <si>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</si>
  <si>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</si>
  <si>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</si>
  <si>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</si>
  <si>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</si>
  <si>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</si>
  <si>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</si>
  <si>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</si>
  <si>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</si>
  <si>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</si>
  <si>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6层</t>
    <phoneticPr fontId="3" type="noConversion"/>
  </si>
  <si>
    <t>北仑区春晓镇春晓大道999号（乐享城）7幢602室</t>
  </si>
  <si>
    <t>浙（2018）北仑区不动产权第0017681号</t>
  </si>
  <si>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</si>
  <si>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</si>
  <si>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</si>
  <si>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</si>
  <si>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</si>
  <si>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</si>
  <si>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</si>
  <si>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</si>
  <si>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</si>
  <si>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</si>
  <si>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</si>
  <si>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</si>
  <si>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</si>
  <si>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</si>
  <si>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</si>
  <si>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</si>
  <si>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</si>
  <si>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</si>
  <si>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</si>
  <si>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</si>
  <si>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</si>
  <si>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</si>
  <si>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</si>
  <si>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</si>
  <si>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宁波万年基业文化旅游投资有限公司</t>
    <phoneticPr fontId="3" type="noConversion"/>
  </si>
  <si>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</si>
  <si>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</si>
  <si>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</si>
  <si>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</si>
  <si>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</si>
  <si>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</si>
  <si>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</si>
  <si>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</si>
  <si>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</si>
  <si>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</si>
  <si>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</si>
  <si>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</si>
  <si>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</si>
  <si>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</si>
  <si>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</si>
  <si>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</si>
  <si>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</si>
  <si>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</si>
  <si>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</si>
  <si>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</si>
  <si>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</si>
  <si>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</si>
  <si>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</si>
  <si>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</si>
  <si>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宁波万年基业文化旅游投资有限公司</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</si>
  <si>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</si>
  <si>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</si>
  <si>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</si>
  <si>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</si>
  <si>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</si>
  <si>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</si>
  <si>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</si>
  <si>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</si>
  <si>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</si>
  <si>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</si>
  <si>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</si>
  <si>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</si>
  <si>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</si>
  <si>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</si>
  <si>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</si>
  <si>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</si>
  <si>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</si>
  <si>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</si>
  <si>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</si>
  <si>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</si>
  <si>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</si>
  <si>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</si>
  <si>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</si>
  <si>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</si>
  <si>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</si>
  <si>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</si>
  <si>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</si>
  <si>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</si>
  <si>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</si>
  <si>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</si>
  <si>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</si>
  <si>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</si>
  <si>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</si>
  <si>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</si>
  <si>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</si>
  <si>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</si>
  <si>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</si>
  <si>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宁波万年基业文化旅游投资有限公司</t>
    <phoneticPr fontId="3" type="noConversion"/>
  </si>
  <si>
    <t>北仑区春晓镇春晓大道999号（乐享城）7幢906室</t>
  </si>
  <si>
    <t>浙（2018）北仑区不动产权第0017736号</t>
  </si>
  <si>
    <t>北仑区春晓镇春晓大道999号（乐享城）7幢907室</t>
  </si>
  <si>
    <t>浙（2018）北仑区不动产权第0017758号</t>
  </si>
  <si>
    <t>宁波万年基业文化旅游投资有限公司</t>
    <phoneticPr fontId="3" type="noConversion"/>
  </si>
  <si>
    <t>北仑区春晓镇春晓大道999号（乐享城）7幢908室</t>
  </si>
  <si>
    <t>浙（2018）北仑区不动产权第0017640号</t>
  </si>
  <si>
    <t>北仑区春晓镇春晓大道999号（乐享城）7幢909室</t>
  </si>
  <si>
    <t>浙（2018）北仑区不动产权第0017697号</t>
  </si>
  <si>
    <t>宁波万年基业文化旅游投资有限公司</t>
    <phoneticPr fontId="3" type="noConversion"/>
  </si>
  <si>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</si>
  <si>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</si>
  <si>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</si>
  <si>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</si>
  <si>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</si>
  <si>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</si>
  <si>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</si>
  <si>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</si>
  <si>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</si>
  <si>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 xml:space="preserve">2、地上建筑面积86619.97平方米，包括酒店用房53602.37平方米（798套）、商业31128.18平方米（6套）、办公886.85平方米（1套）、公建配套1002.57平方米。  </t>
    <phoneticPr fontId="143" type="noConversion"/>
  </si>
  <si>
    <t>3和7</t>
  </si>
  <si>
    <t>3和7</t>
    <phoneticPr fontId="7" type="noConversion"/>
  </si>
  <si>
    <t>收益法</t>
  </si>
  <si>
    <t>6号公寓楼不动产权证情况</t>
    <phoneticPr fontId="3" type="noConversion"/>
  </si>
  <si>
    <t>北仑区春晓镇春晓大道999号（乐享城）6幢101室</t>
    <phoneticPr fontId="3" type="noConversion"/>
  </si>
  <si>
    <t>浙（2018）北仑区不动产权第0013360号</t>
  </si>
  <si>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</si>
  <si>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</si>
  <si>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</si>
  <si>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</si>
  <si>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</si>
  <si>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</si>
  <si>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宁波万年基业文化旅游投资有限公司</t>
    <phoneticPr fontId="3" type="noConversion"/>
  </si>
  <si>
    <t>北仑区春晓镇春晓大道999号（乐享城）6幢104室</t>
  </si>
  <si>
    <t>浙（2018）北仑区不动产权第0013372号</t>
  </si>
  <si>
    <t>旅游用地</t>
    <phoneticPr fontId="3" type="noConversion"/>
  </si>
  <si>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</si>
  <si>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</si>
  <si>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</si>
  <si>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</si>
  <si>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</si>
  <si>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</si>
  <si>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</si>
  <si>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</si>
  <si>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</si>
  <si>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</si>
  <si>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</si>
  <si>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</si>
  <si>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</si>
  <si>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</si>
  <si>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</si>
  <si>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</si>
  <si>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</si>
  <si>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</si>
  <si>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</si>
  <si>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</si>
  <si>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</si>
  <si>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</si>
  <si>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</si>
  <si>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</si>
  <si>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</si>
  <si>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</si>
  <si>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</si>
  <si>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</si>
  <si>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</si>
  <si>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</si>
  <si>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</si>
  <si>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</si>
  <si>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</si>
  <si>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</si>
  <si>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</si>
  <si>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</si>
  <si>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</si>
  <si>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</si>
  <si>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</si>
  <si>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</si>
  <si>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</si>
  <si>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</si>
  <si>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</si>
  <si>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</si>
  <si>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旅游用地</t>
    <phoneticPr fontId="3" type="noConversion"/>
  </si>
  <si>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</si>
  <si>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</si>
  <si>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</si>
  <si>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</si>
  <si>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</si>
  <si>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</si>
  <si>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宁波万年基业文化旅游投资有限公司</t>
    <phoneticPr fontId="3" type="noConversion"/>
  </si>
  <si>
    <t>北仑区春晓镇春晓大道999号（乐享城）6幢304室</t>
  </si>
  <si>
    <t>浙（2018）北仑区不动产权第0013286号</t>
  </si>
  <si>
    <t>旅游用地</t>
    <phoneticPr fontId="3" type="noConversion"/>
  </si>
  <si>
    <t>北仑区春晓镇春晓大道999号（乐享城）6幢305室</t>
  </si>
  <si>
    <t>浙（2018）北仑区不动产权第0013377号</t>
  </si>
  <si>
    <t>宁波万年基业文化旅游投资有限公司</t>
    <phoneticPr fontId="3" type="noConversion"/>
  </si>
  <si>
    <t>北仑区春晓镇春晓大道999号（乐享城）6幢306室</t>
  </si>
  <si>
    <t>浙（2018）北仑区不动产权第0013337号</t>
  </si>
  <si>
    <t>旅游用地</t>
    <phoneticPr fontId="3" type="noConversion"/>
  </si>
  <si>
    <t>宁波万年基业文化旅游投资有限公司</t>
    <phoneticPr fontId="3" type="noConversion"/>
  </si>
  <si>
    <t>北仑区春晓镇春晓大道999号（乐享城）6幢307室</t>
  </si>
  <si>
    <t>浙（2018）北仑区不动产权第0013346号</t>
  </si>
  <si>
    <t>旅游用地</t>
    <phoneticPr fontId="3" type="noConversion"/>
  </si>
  <si>
    <t>北仑区春晓镇春晓大道999号（乐享城）6幢308室</t>
  </si>
  <si>
    <t>浙（2018）北仑区不动产权第0013270号</t>
  </si>
  <si>
    <t>宁波万年基业文化旅游投资有限公司</t>
    <phoneticPr fontId="3" type="noConversion"/>
  </si>
  <si>
    <t>北仑区春晓镇春晓大道999号（乐享城）6幢309室</t>
  </si>
  <si>
    <t>浙（2018）北仑区不动产权第0013389号</t>
  </si>
  <si>
    <t>旅游用地</t>
    <phoneticPr fontId="3" type="noConversion"/>
  </si>
  <si>
    <t>北仑区春晓镇春晓大道999号（乐享城）6幢310室</t>
  </si>
  <si>
    <t>浙（2018）北仑区不动产权第0013376号</t>
  </si>
  <si>
    <t>旅游用地</t>
    <phoneticPr fontId="3" type="noConversion"/>
  </si>
  <si>
    <t>北仑区春晓镇春晓大道999号（乐享城）6幢311室</t>
  </si>
  <si>
    <t>浙（2018）北仑区不动产权第0013320号</t>
  </si>
  <si>
    <t>北仑区春晓镇春晓大道999号（乐享城）6幢312室</t>
  </si>
  <si>
    <t>浙（2018）北仑区不动产权第0013305号</t>
  </si>
  <si>
    <t>旅游用地</t>
    <phoneticPr fontId="3" type="noConversion"/>
  </si>
  <si>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</si>
  <si>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</si>
  <si>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</si>
  <si>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</si>
  <si>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</si>
  <si>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</si>
  <si>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4层</t>
    <phoneticPr fontId="3" type="noConversion"/>
  </si>
  <si>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</si>
  <si>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</si>
  <si>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</si>
  <si>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</si>
  <si>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</si>
  <si>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</si>
  <si>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</si>
  <si>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</si>
  <si>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</si>
  <si>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</si>
  <si>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</si>
  <si>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</si>
  <si>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</si>
  <si>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</si>
  <si>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</si>
  <si>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</si>
  <si>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</si>
  <si>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</si>
  <si>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宁波万年基业文化旅游投资有限公司</t>
    <phoneticPr fontId="3" type="noConversion"/>
  </si>
  <si>
    <t>北仑区春晓镇春晓大道999号（乐享城）6幢411室</t>
  </si>
  <si>
    <t>浙（2018）北仑区不动产权第0013374号</t>
  </si>
  <si>
    <t>旅游用地</t>
    <phoneticPr fontId="3" type="noConversion"/>
  </si>
  <si>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</si>
  <si>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</si>
  <si>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</si>
  <si>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</si>
  <si>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</si>
  <si>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</si>
  <si>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</si>
  <si>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</si>
  <si>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</si>
  <si>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</si>
  <si>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</si>
  <si>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</si>
  <si>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</si>
  <si>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</si>
  <si>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</si>
  <si>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旅游用地</t>
    <phoneticPr fontId="3" type="noConversion"/>
  </si>
  <si>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</si>
  <si>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</si>
  <si>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</si>
  <si>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</si>
  <si>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</si>
  <si>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</si>
  <si>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</si>
  <si>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</si>
  <si>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旅游用地</t>
    <phoneticPr fontId="3" type="noConversion"/>
  </si>
  <si>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</si>
  <si>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</si>
  <si>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</si>
  <si>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</si>
  <si>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</si>
  <si>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</si>
  <si>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</si>
  <si>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</si>
  <si>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宁波万年基业文化旅游投资有限公司</t>
    <phoneticPr fontId="3" type="noConversion"/>
  </si>
  <si>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</si>
  <si>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</si>
  <si>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</si>
  <si>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</si>
  <si>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</si>
  <si>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北仑区春晓镇春晓大道999号（乐享城）6幢601室</t>
    <phoneticPr fontId="3" type="noConversion"/>
  </si>
  <si>
    <t>浙（2018）北仑区不动产权第0013335号</t>
  </si>
  <si>
    <t>北仑区春晓镇春晓大道999号（乐享城）6幢602室</t>
    <phoneticPr fontId="3" type="noConversion"/>
  </si>
  <si>
    <t>浙（2018）北仑区不动产权第0013386号</t>
  </si>
  <si>
    <t>北仑区春晓镇春晓大道999号（乐享城）6幢603室</t>
  </si>
  <si>
    <t>浙（2018）北仑区不动产权第0013280号</t>
  </si>
  <si>
    <t>北仑区春晓镇春晓大道999号（乐享城）6幢604室</t>
  </si>
  <si>
    <t>浙（2018）北仑区不动产权第0013369号</t>
  </si>
  <si>
    <t>北仑区春晓镇春晓大道999号（乐享城）6幢605室</t>
  </si>
  <si>
    <t>浙（2018）北仑区不动产权第0013362号</t>
  </si>
  <si>
    <t>宁波万年基业文化旅游投资有限公司</t>
    <phoneticPr fontId="3" type="noConversion"/>
  </si>
  <si>
    <t>北仑区春晓镇春晓大道999号（乐享城）6幢606室</t>
  </si>
  <si>
    <t>浙（2018）北仑区不动产权第0013332号</t>
  </si>
  <si>
    <t>旅游用地</t>
    <phoneticPr fontId="3" type="noConversion"/>
  </si>
  <si>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</si>
  <si>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</si>
  <si>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</si>
  <si>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</si>
  <si>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</si>
  <si>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</si>
  <si>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旅游用地</t>
    <phoneticPr fontId="3" type="noConversion"/>
  </si>
  <si>
    <t>北仑区春晓镇春晓大道999号（乐享城）6幢610室</t>
  </si>
  <si>
    <t>浙（2018）北仑区不动产权第0013300号</t>
  </si>
  <si>
    <t>北仑区春晓镇春晓大道999号（乐享城）6幢611室</t>
  </si>
  <si>
    <t>浙（2018）北仑区不动产权第0013359号</t>
  </si>
  <si>
    <t>北仑区春晓镇春晓大道999号（乐享城）6幢612室</t>
  </si>
  <si>
    <t>浙（2018）北仑区不动产权第0013304号</t>
  </si>
  <si>
    <t>北仑区春晓镇春晓大道999号（乐享城）6幢613室</t>
  </si>
  <si>
    <t>浙（2018）北仑区不动产权第0013383号</t>
  </si>
  <si>
    <t>北仑区春晓镇春晓大道999号（乐享城）6幢614室</t>
    <phoneticPr fontId="3" type="noConversion"/>
  </si>
  <si>
    <t>浙（2018）北仑区不动产权第0013309号</t>
  </si>
  <si>
    <t>北仑区春晓镇春晓大道999号（乐享城）6幢701室</t>
    <phoneticPr fontId="3" type="noConversion"/>
  </si>
  <si>
    <t>浙（2018）北仑区不动产权第0013350号</t>
  </si>
  <si>
    <t>7层</t>
    <phoneticPr fontId="3" type="noConversion"/>
  </si>
  <si>
    <t>北仑区春晓镇春晓大道999号（乐享城）6幢702室</t>
    <phoneticPr fontId="3" type="noConversion"/>
  </si>
  <si>
    <t>浙（2018）北仑区不动产权第0013319号</t>
  </si>
  <si>
    <t>旅游用地</t>
    <phoneticPr fontId="3" type="noConversion"/>
  </si>
  <si>
    <t>北仑区春晓镇春晓大道999号（乐享城）6幢703室</t>
  </si>
  <si>
    <t>浙（2018）北仑区不动产权第0013330号</t>
  </si>
  <si>
    <t>宁波万年基业文化旅游投资有限公司</t>
    <phoneticPr fontId="3" type="noConversion"/>
  </si>
  <si>
    <t>北仑区春晓镇春晓大道999号（乐享城）6幢704室</t>
  </si>
  <si>
    <t>浙（2018）北仑区不动产权第0013385号</t>
  </si>
  <si>
    <t>旅游用地</t>
    <phoneticPr fontId="3" type="noConversion"/>
  </si>
  <si>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</si>
  <si>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</si>
  <si>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</si>
  <si>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</si>
  <si>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</si>
  <si>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</si>
  <si>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</si>
  <si>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</si>
  <si>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</si>
  <si>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</si>
  <si>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</si>
  <si>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</si>
  <si>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</si>
  <si>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</si>
  <si>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</si>
  <si>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</si>
  <si>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</si>
  <si>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</si>
  <si>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</si>
  <si>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</si>
  <si>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</si>
  <si>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</si>
  <si>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</si>
  <si>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</si>
  <si>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</si>
  <si>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</si>
  <si>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</si>
  <si>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北仑区春晓镇春晓大道999号（乐享城）6幢804室</t>
  </si>
  <si>
    <t>浙（2018）北仑区不动产权第0013315号</t>
  </si>
  <si>
    <t>旅游用地</t>
    <phoneticPr fontId="3" type="noConversion"/>
  </si>
  <si>
    <t>宁波万年基业文化旅游投资有限公司</t>
    <phoneticPr fontId="3" type="noConversion"/>
  </si>
  <si>
    <t>北仑区春晓镇春晓大道999号（乐享城）6幢805室</t>
  </si>
  <si>
    <t>浙（2018）北仑区不动产权第0013363号</t>
  </si>
  <si>
    <t>旅游用地</t>
    <phoneticPr fontId="3" type="noConversion"/>
  </si>
  <si>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</si>
  <si>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</si>
  <si>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</si>
  <si>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</si>
  <si>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</si>
  <si>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</si>
  <si>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</si>
  <si>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</si>
  <si>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</si>
  <si>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</si>
  <si>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北仑区春晓镇春晓大道999号（乐享城）6幢811室</t>
  </si>
  <si>
    <t>浙（2018）北仑区不动产权第0013343号</t>
  </si>
  <si>
    <t>宁波万年基业文化旅游投资有限公司</t>
    <phoneticPr fontId="3" type="noConversion"/>
  </si>
  <si>
    <t>北仑区春晓镇春晓大道999号（乐享城）6幢812室</t>
  </si>
  <si>
    <t>浙（2018）北仑区不动产权第0013324号</t>
  </si>
  <si>
    <t>旅游用地</t>
    <phoneticPr fontId="3" type="noConversion"/>
  </si>
  <si>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</si>
  <si>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</si>
  <si>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</si>
  <si>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</si>
  <si>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</si>
  <si>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</si>
  <si>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</si>
  <si>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宁波万年基业文化旅游投资有限公司</t>
    <phoneticPr fontId="3" type="noConversion"/>
  </si>
  <si>
    <t>北仑区春晓镇春晓大道999号（乐享城）6幢902室</t>
    <phoneticPr fontId="3" type="noConversion"/>
  </si>
  <si>
    <t>浙（2018）北仑区不动产权第0013297号</t>
  </si>
  <si>
    <t>旅游用地</t>
    <phoneticPr fontId="3" type="noConversion"/>
  </si>
  <si>
    <t>北仑区春晓镇春晓大道999号（乐享城）6幢903室</t>
  </si>
  <si>
    <t>浙（2018）北仑区不动产权第0013298号</t>
  </si>
  <si>
    <t>北仑区春晓镇春晓大道999号（乐享城）6幢904室</t>
  </si>
  <si>
    <t>浙（2018）北仑区不动产权第0013355号</t>
  </si>
  <si>
    <t>北仑区春晓镇春晓大道999号（乐享城）6幢905室</t>
  </si>
  <si>
    <t>浙（2018）北仑区不动产权第0013325号</t>
  </si>
  <si>
    <t>北仑区春晓镇春晓大道999号（乐享城）6幢906室</t>
  </si>
  <si>
    <t>浙（2018）北仑区不动产权第0013342号</t>
  </si>
  <si>
    <t>旅游用地</t>
    <phoneticPr fontId="3" type="noConversion"/>
  </si>
  <si>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</si>
  <si>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</si>
  <si>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</si>
  <si>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</si>
  <si>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</si>
  <si>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</si>
  <si>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</si>
  <si>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</si>
  <si>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</si>
  <si>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</si>
  <si>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</si>
  <si>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</si>
  <si>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</si>
  <si>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</si>
  <si>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未包含在土地购买价格中</t>
  </si>
  <si>
    <t>估价方法</t>
  </si>
  <si>
    <t>全部缴纳</t>
  </si>
  <si>
    <t>单价</t>
    <phoneticPr fontId="143" type="noConversion"/>
  </si>
  <si>
    <t>总价</t>
    <phoneticPr fontId="143" type="noConversion"/>
  </si>
  <si>
    <t>单价</t>
    <phoneticPr fontId="143" type="noConversion"/>
  </si>
  <si>
    <t>总值</t>
    <phoneticPr fontId="143" type="noConversion"/>
  </si>
  <si>
    <t>地价</t>
    <phoneticPr fontId="7" type="noConversion"/>
  </si>
  <si>
    <t>楼面地价</t>
    <phoneticPr fontId="7" type="noConversion"/>
  </si>
  <si>
    <t>楼面价</t>
    <phoneticPr fontId="7" type="noConversion"/>
  </si>
  <si>
    <t>建安</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</si>
</sst>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sz val="10"/>
      <color rgb="FF000000"/>
      <name val="Arial"/>
      <family val="2"/>
    </font>
    <font>
      <sz val="9"/>
      <name val="等线"/>
      <charset val="134"/>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5" borderId="2"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79" fontId="51" fillId="6" borderId="0"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0" fontId="50" fillId="6" borderId="58"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0" xfId="0" applyFont="1" applyFill="1" applyAlignment="1" applyProtection="1">
      <alignment horizontal="left" vertical="center" wrapText="1"/>
    </xf>
    <xf numFmtId="0" fontId="50" fillId="0" borderId="2" xfId="0" applyFont="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xf>
    <xf numFmtId="0" fontId="51" fillId="0" borderId="0" xfId="0" applyFont="1" applyAlignment="1" applyProtection="1">
      <alignment horizontal="left" vertical="center"/>
    </xf>
    <xf numFmtId="0" fontId="50" fillId="0" borderId="0" xfId="0" applyFont="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10" applyAlignment="1">
      <alignment horizontal="center" vertical="center" wrapText="1"/>
    </xf>
    <xf numFmtId="0" fontId="99" fillId="0" borderId="0" xfId="10" applyFont="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17" borderId="0" xfId="10" applyFill="1" applyAlignment="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0" xfId="10" applyFont="1">
      <alignment vertical="center"/>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179" fontId="99" fillId="0" borderId="0" xfId="10" applyNumberFormat="1">
      <alignment vertical="center"/>
    </xf>
    <xf numFmtId="0" fontId="99" fillId="0" borderId="1" xfId="10" applyBorder="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Border="1" applyAlignment="1">
      <alignment horizontal="center" vertical="center"/>
    </xf>
    <xf numFmtId="0" fontId="254" fillId="0" borderId="43" xfId="0" applyFont="1" applyBorder="1" applyAlignment="1">
      <alignment horizontal="center" vertical="center"/>
    </xf>
    <xf numFmtId="0" fontId="175"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175" fillId="0" borderId="43"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82" xfId="0" applyFont="1" applyBorder="1" applyAlignment="1">
      <alignment horizontal="center" vertical="center" wrapText="1"/>
    </xf>
    <xf numFmtId="0" fontId="99" fillId="0" borderId="0" xfId="10" applyFont="1" applyAlignment="1">
      <alignment horizontal="center" vertical="center"/>
    </xf>
    <xf numFmtId="0" fontId="99" fillId="5" borderId="1" xfId="10" applyNumberFormat="1" applyFont="1" applyFill="1" applyBorder="1" applyAlignment="1">
      <alignment horizontal="center" vertical="center" wrapText="1"/>
    </xf>
    <xf numFmtId="0" fontId="99" fillId="0" borderId="0" xfId="0" applyFont="1">
      <alignment vertical="center"/>
    </xf>
    <xf numFmtId="0" fontId="19" fillId="0" borderId="0" xfId="0" applyFont="1" applyFill="1" applyAlignment="1">
      <alignmen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8"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258" fillId="0" borderId="0" xfId="0" applyFont="1" applyFill="1" applyAlignment="1">
      <alignment vertical="center" wrapText="1"/>
    </xf>
    <xf numFmtId="179" fontId="19" fillId="0" borderId="0" xfId="0" applyNumberFormat="1" applyFont="1" applyFill="1" applyAlignment="1">
      <alignment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99" fillId="0" borderId="0" xfId="10"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176" fontId="19" fillId="0" borderId="0" xfId="0" applyNumberFormat="1" applyFont="1" applyFill="1" applyAlignment="1">
      <alignment vertical="center" wrapText="1"/>
    </xf>
    <xf numFmtId="0" fontId="19" fillId="0" borderId="15" xfId="0" applyFont="1" applyFill="1" applyBorder="1" applyAlignment="1">
      <alignment horizontal="center" vertical="center" wrapText="1"/>
    </xf>
    <xf numFmtId="0" fontId="57" fillId="0" borderId="24" xfId="1" applyFont="1" applyFill="1" applyBorder="1" applyAlignment="1" applyProtection="1">
      <alignment horizontal="left" vertical="center"/>
      <protection locked="0"/>
    </xf>
    <xf numFmtId="0" fontId="99" fillId="0" borderId="0" xfId="10" applyFill="1">
      <alignment vertical="center"/>
    </xf>
    <xf numFmtId="0" fontId="254" fillId="0" borderId="56" xfId="0" applyFont="1" applyFill="1" applyBorder="1" applyAlignment="1">
      <alignment horizontal="center" vertical="center"/>
    </xf>
    <xf numFmtId="0" fontId="99" fillId="0" borderId="1" xfId="10"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2" fontId="99" fillId="0" borderId="0" xfId="10" applyNumberForma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4" xfId="0" applyFont="1" applyBorder="1" applyAlignment="1">
      <alignment horizontal="center" vertical="center"/>
    </xf>
    <xf numFmtId="0" fontId="254" fillId="0" borderId="65" xfId="0" applyFont="1" applyBorder="1" applyAlignment="1">
      <alignment horizontal="center" vertical="center"/>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xf numFmtId="0" fontId="144"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113" fillId="0" borderId="1" xfId="0" applyFont="1" applyFill="1" applyBorder="1" applyAlignment="1">
      <alignment horizontal="center" vertical="center"/>
    </xf>
    <xf numFmtId="0" fontId="137" fillId="0" borderId="0" xfId="0" applyFo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21495;&#27004;-&#36793;&#36828;20190520-140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sheetData sheetId="18">
        <row r="17">
          <cell r="C17" t="str">
            <v>项目类型</v>
          </cell>
        </row>
        <row r="19">
          <cell r="C19" t="str">
            <v>公寓用房</v>
          </cell>
        </row>
        <row r="20">
          <cell r="C20" t="str">
            <v>地下车库</v>
          </cell>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row r="5">
          <cell r="B5">
            <v>28339</v>
          </cell>
        </row>
      </sheetData>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cell r="C75" t="str">
            <v>商业、办公</v>
          </cell>
          <cell r="D75" t="str">
            <v>旅游</v>
          </cell>
        </row>
        <row r="106">
          <cell r="B106" t="str">
            <v>毗邻道路的类型与等级</v>
          </cell>
          <cell r="C106" t="str">
            <v>快速</v>
          </cell>
          <cell r="D106" t="str">
            <v>主干道</v>
          </cell>
          <cell r="E106" t="str">
            <v>次干道</v>
          </cell>
          <cell r="F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六通</v>
          </cell>
          <cell r="D123" t="str">
            <v>五通</v>
          </cell>
          <cell r="E123" t="str">
            <v>四通</v>
          </cell>
          <cell r="F123" t="str">
            <v>三通</v>
          </cell>
        </row>
        <row r="125">
          <cell r="B125" t="str">
            <v>工程地质条件</v>
          </cell>
          <cell r="C125" t="str">
            <v>良好</v>
          </cell>
          <cell r="D125" t="str">
            <v>一般</v>
          </cell>
          <cell r="E125" t="str">
            <v>较差</v>
          </cell>
        </row>
      </sheetData>
      <sheetData sheetId="34"/>
      <sheetData sheetId="35"/>
      <sheetData sheetId="36"/>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1">
          <cell r="A51" t="str">
            <v>交易情况</v>
          </cell>
          <cell r="C51" t="str">
            <v>正常</v>
          </cell>
        </row>
        <row r="53">
          <cell r="B53" t="str">
            <v>用途</v>
          </cell>
          <cell r="C53" t="str">
            <v>地下车库</v>
          </cell>
        </row>
        <row r="71">
          <cell r="B71" t="str">
            <v>楼层</v>
          </cell>
        </row>
        <row r="79">
          <cell r="B79" t="str">
            <v>配套类型（地上主用途）</v>
          </cell>
          <cell r="C79" t="str">
            <v>商业</v>
          </cell>
          <cell r="D79" t="str">
            <v>普通商品房</v>
          </cell>
          <cell r="E79" t="str">
            <v>保障房</v>
          </cell>
        </row>
        <row r="83">
          <cell r="B83" t="str">
            <v>公共部分装修</v>
          </cell>
          <cell r="C83" t="str">
            <v>精装</v>
          </cell>
          <cell r="D83" t="str">
            <v>普装</v>
          </cell>
          <cell r="E83" t="str">
            <v>简装</v>
          </cell>
          <cell r="F83" t="str">
            <v>毛坯</v>
          </cell>
        </row>
        <row r="88">
          <cell r="B88" t="str">
            <v>物业等级</v>
          </cell>
        </row>
        <row r="93">
          <cell r="B93" t="str">
            <v>车位类型</v>
          </cell>
          <cell r="C93" t="str">
            <v>立体</v>
          </cell>
          <cell r="D93" t="str">
            <v>平面</v>
          </cell>
        </row>
        <row r="95">
          <cell r="B95" t="str">
            <v>是否直接入户</v>
          </cell>
          <cell r="C95" t="str">
            <v>是</v>
          </cell>
          <cell r="D95" t="str">
            <v>否</v>
          </cell>
        </row>
      </sheetData>
      <sheetData sheetId="44"/>
      <sheetData sheetId="45"/>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7397.6099999999988</v>
          </cell>
        </row>
        <row r="2">
          <cell r="B2">
            <v>14597.18</v>
          </cell>
        </row>
        <row r="5">
          <cell r="B5">
            <v>8103</v>
          </cell>
        </row>
        <row r="6">
          <cell r="B6">
            <v>8103</v>
          </cell>
        </row>
      </sheetData>
      <sheetData sheetId="17">
        <row r="20">
          <cell r="G20">
            <v>10954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估价对象为房地产，为所有。根据《国有土地使用证》[]，估价对象（分摊）出让国有建设用地使用权面积为40347.69平方米，建筑面积为20447.54平方米。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估价对象为房地产,属开发建设的，该项目尚在开发建设中。根据《国有土地使用证》[]，估价对象（分摊）出让国有建设用地使用权面积为40347.69平方米，规划建筑面积为20447.54平方米。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21417</v>
      </c>
    </row>
    <row r="21" spans="1:2" s="1596" customFormat="1">
      <c r="A21" s="1594" t="s">
        <v>1231</v>
      </c>
      <c r="B21" s="1595">
        <f ca="1">'预评函-2'!D7</f>
        <v>10474</v>
      </c>
    </row>
    <row r="22" spans="1:2" s="1596" customFormat="1">
      <c r="A22" s="1594" t="s">
        <v>1232</v>
      </c>
      <c r="B22" s="1595" t="str">
        <f ca="1">'预评函-2'!D6</f>
        <v>贰亿壹仟肆佰壹拾柒万元整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21417</v>
      </c>
    </row>
    <row r="31" spans="1:2" s="1596" customFormat="1">
      <c r="A31" s="1594" t="s">
        <v>1270</v>
      </c>
      <c r="B31" s="1595">
        <f ca="1">'预评函-2'!D15</f>
        <v>10474</v>
      </c>
    </row>
    <row r="32" spans="1:2" s="1596" customFormat="1">
      <c r="A32" s="1594" t="s">
        <v>1237</v>
      </c>
      <c r="B32" s="1595" t="str">
        <f ca="1">'预评函-2'!D14</f>
        <v>贰亿壹仟肆佰壹拾柒万元整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20447.539999999997</v>
      </c>
    </row>
    <row r="44" spans="1:2" s="1596" customFormat="1">
      <c r="A44" s="1594" t="s">
        <v>1269</v>
      </c>
      <c r="B44" s="1595" t="str">
        <f>'预评函-3'!C2</f>
        <v>(分摊)土地面积</v>
      </c>
    </row>
    <row r="45" spans="1:2" s="1596" customFormat="1">
      <c r="A45" s="1594" t="s">
        <v>1241</v>
      </c>
      <c r="B45" s="1595">
        <f>'预评函-3'!C4</f>
        <v>40347.69</v>
      </c>
    </row>
    <row r="46" spans="1:2" s="1596" customFormat="1">
      <c r="A46" s="1594" t="s">
        <v>1267</v>
      </c>
      <c r="B46" s="1595" t="str">
        <f>'预评函-3'!D2</f>
        <v>出让国有建设用地使用权价值</v>
      </c>
    </row>
    <row r="47" spans="1:2" s="1596" customFormat="1">
      <c r="A47" s="1594" t="s">
        <v>1242</v>
      </c>
      <c r="B47" s="1595">
        <f ca="1">'预评函-3'!D4</f>
        <v>12165</v>
      </c>
    </row>
    <row r="48" spans="1:2" s="1596" customFormat="1">
      <c r="A48" s="1594" t="s">
        <v>1243</v>
      </c>
      <c r="B48" s="1595">
        <f ca="1">'预评函-3'!E4</f>
        <v>5949</v>
      </c>
    </row>
    <row r="49" spans="1:2" s="1596" customFormat="1">
      <c r="A49" s="1594" t="s">
        <v>1244</v>
      </c>
      <c r="B49" s="1595" t="str">
        <f ca="1">'预评函-3'!D5</f>
        <v>壹亿贰仟壹佰陆拾伍万元整</v>
      </c>
    </row>
    <row r="50" spans="1:2" s="1596" customFormat="1">
      <c r="A50" s="1594" t="s">
        <v>1268</v>
      </c>
      <c r="B50" s="1595" t="str">
        <f>'预评函-3'!F2</f>
        <v>建筑物价值</v>
      </c>
    </row>
    <row r="51" spans="1:2" s="1596" customFormat="1">
      <c r="A51" s="1594" t="s">
        <v>1245</v>
      </c>
      <c r="B51" s="1595">
        <f ca="1">'预评函-3'!F4</f>
        <v>9252</v>
      </c>
    </row>
    <row r="52" spans="1:2" s="1596" customFormat="1">
      <c r="A52" s="1594" t="s">
        <v>1246</v>
      </c>
      <c r="B52" s="1595">
        <f ca="1">'预评函-3'!G4</f>
        <v>4525</v>
      </c>
    </row>
    <row r="53" spans="1:2" s="1596" customFormat="1">
      <c r="A53" s="1594" t="s">
        <v>1274</v>
      </c>
      <c r="B53" s="1595" t="str">
        <f ca="1">'预评函-3'!F5</f>
        <v>玖仟贰佰伍拾贰万元整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3368</v>
      </c>
      <c r="C17" s="2018"/>
    </row>
    <row r="18" spans="1:3">
      <c r="A18" s="2017" t="s">
        <v>1763</v>
      </c>
      <c r="B18" s="2017" t="s">
        <v>3369</v>
      </c>
      <c r="C18" s="2018"/>
    </row>
    <row r="19" spans="1:3">
      <c r="A19" s="2017" t="s">
        <v>1764</v>
      </c>
      <c r="B19" s="2017" t="s">
        <v>3406</v>
      </c>
      <c r="C19" s="2018"/>
    </row>
    <row r="20" spans="1:3">
      <c r="A20" s="2017" t="s">
        <v>1765</v>
      </c>
      <c r="B20" s="2017" t="s">
        <v>3407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8"/>
      <c r="B54" s="2025" t="s">
        <v>861</v>
      </c>
      <c r="C54" s="2022" t="s">
        <v>1277</v>
      </c>
    </row>
    <row r="55" spans="1:4">
      <c r="A55" s="3078"/>
      <c r="B55" s="2025" t="s">
        <v>862</v>
      </c>
      <c r="C55" s="2022" t="s">
        <v>1278</v>
      </c>
    </row>
    <row r="56" spans="1:4">
      <c r="A56" s="3078"/>
      <c r="B56" s="2025" t="s">
        <v>863</v>
      </c>
      <c r="C56" s="2022" t="s">
        <v>1282</v>
      </c>
    </row>
    <row r="57" spans="1:4">
      <c r="A57" s="307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79" t="str">
        <f>IF(B10="北京市","北京市",C10)&amp;F10&amp;IF(结果表!G1="在建","出让国有建设用地使用权及在建建筑物",IF(结果表!G1="土地","出让国有建设用地使用权",))&amp;B9&amp;"预评估"</f>
        <v>房地产抵押价值预评估</v>
      </c>
      <c r="C1" s="3080"/>
      <c r="D1" s="3080"/>
      <c r="E1" s="3080"/>
      <c r="F1" s="3080"/>
      <c r="G1" s="3080"/>
      <c r="H1" s="3080"/>
      <c r="I1" s="308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082"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083"/>
      <c r="E9" s="2062"/>
      <c r="F9" s="2064"/>
      <c r="G9" s="2065"/>
      <c r="H9" s="2065"/>
      <c r="I9" s="2065"/>
      <c r="J9" s="2045"/>
      <c r="K9" s="2057"/>
      <c r="L9" s="2031"/>
      <c r="M9" s="2031"/>
      <c r="N9" s="2032"/>
      <c r="O9" s="2033"/>
      <c r="P9" s="2032"/>
      <c r="Q9" s="2032"/>
      <c r="R9" s="2032"/>
    </row>
    <row r="10" spans="1:19" ht="18" customHeight="1" thickTop="1">
      <c r="A10" s="2066" t="s">
        <v>1783</v>
      </c>
      <c r="B10" s="2067" t="s">
        <v>3055</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3057</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89"/>
      <c r="C16" s="3090"/>
      <c r="D16" s="3091"/>
      <c r="E16" s="2089" t="s">
        <v>1798</v>
      </c>
      <c r="F16" s="3092"/>
      <c r="G16" s="3093"/>
      <c r="H16" s="3093"/>
      <c r="I16" s="3094"/>
      <c r="J16" s="2032"/>
      <c r="K16" s="2086"/>
      <c r="L16" s="2087"/>
      <c r="M16" s="2087"/>
      <c r="N16" s="2088"/>
      <c r="O16" s="2087"/>
      <c r="P16" s="2088"/>
      <c r="Q16" s="2032"/>
      <c r="R16" s="2032"/>
    </row>
    <row r="17" spans="1:22" ht="18" customHeight="1">
      <c r="A17" s="2090" t="s">
        <v>1799</v>
      </c>
      <c r="B17" s="2038" t="s">
        <v>1800</v>
      </c>
      <c r="C17" s="1057">
        <f>'数据-汇总表'!E3</f>
        <v>20447.539999999997</v>
      </c>
      <c r="D17" s="2091" t="s">
        <v>1801</v>
      </c>
      <c r="E17" s="3095" t="s">
        <v>1802</v>
      </c>
      <c r="F17" s="3096"/>
      <c r="G17" s="3096"/>
      <c r="H17" s="3096"/>
      <c r="I17" s="3097"/>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40347.69</v>
      </c>
      <c r="D18" s="2094" t="s">
        <v>1801</v>
      </c>
      <c r="E18" s="3098" t="s">
        <v>1805</v>
      </c>
      <c r="F18" s="3099"/>
      <c r="G18" s="3099"/>
      <c r="H18" s="3099"/>
      <c r="I18" s="3100"/>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85" t="s">
        <v>1810</v>
      </c>
      <c r="C20" s="3086"/>
      <c r="D20" s="3087" t="s">
        <v>1811</v>
      </c>
      <c r="E20" s="3088"/>
      <c r="F20" s="2101" t="s">
        <v>1812</v>
      </c>
      <c r="G20" s="2045"/>
      <c r="H20" s="2045"/>
      <c r="I20" s="2045"/>
      <c r="J20" s="2045"/>
      <c r="K20" s="308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8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8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102"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102"/>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102"/>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103"/>
      <c r="B30" s="2038" t="s">
        <v>1829</v>
      </c>
      <c r="C30" s="3104"/>
      <c r="D30" s="310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106"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10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10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101" t="s">
        <v>1839</v>
      </c>
      <c r="T34" s="2138" t="str">
        <f>NUMBERSTRING(7-K34,1)&amp;"通"</f>
        <v>七通</v>
      </c>
      <c r="U34" s="2032"/>
      <c r="V34" s="2032"/>
    </row>
    <row r="35" spans="1:22" ht="18" customHeight="1">
      <c r="A35" s="2139"/>
      <c r="B35" s="3108" t="s">
        <v>1840</v>
      </c>
      <c r="C35" s="3108"/>
      <c r="D35" s="3108"/>
      <c r="E35" s="3108"/>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1"/>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959" customWidth="1"/>
    <col min="4" max="4" width="9.125" style="2163" customWidth="1"/>
    <col min="5" max="6" width="10" style="2224"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955"/>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2948" t="s">
        <v>3285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面积表!F3+面积表!F7</f>
        <v>40347.69</v>
      </c>
      <c r="B3" s="14">
        <f>IF(C3="否",G5-AT5,G5)</f>
        <v>20447.539999999997</v>
      </c>
      <c r="C3" s="1831"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5" customFormat="1" ht="13.5" thickBot="1">
      <c r="A4" s="2172"/>
      <c r="B4" s="2173"/>
      <c r="C4" s="2951"/>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4"/>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2947"/>
      <c r="D5" s="1809"/>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952"/>
      <c r="D6" s="2177"/>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953" t="s">
        <v>3286</v>
      </c>
      <c r="D7" s="2113" t="s">
        <v>1880</v>
      </c>
      <c r="E7" s="2113" t="s">
        <v>1881</v>
      </c>
      <c r="F7" s="2113"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70"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95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954"/>
      <c r="D9" s="2184"/>
      <c r="E9" s="2184"/>
      <c r="F9" s="2184"/>
      <c r="G9" s="1295"/>
      <c r="H9" s="2192" t="s">
        <v>1895</v>
      </c>
      <c r="I9" s="2193" t="s">
        <v>3058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9"/>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95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9"/>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95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9"/>
      <c r="AU11" s="2184"/>
      <c r="AV11" s="1295"/>
      <c r="AW11" s="2169"/>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1" customFormat="1" ht="12.75">
      <c r="A12" s="2209"/>
      <c r="B12" s="2209"/>
      <c r="C12" s="1348"/>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70"/>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1" customFormat="1" ht="12.75">
      <c r="A13" s="1275"/>
      <c r="B13" s="1275"/>
      <c r="C13" s="2950">
        <v>3</v>
      </c>
      <c r="D13" s="2215" t="s">
        <v>3287</v>
      </c>
      <c r="E13" s="16">
        <f>IF($C$3="是",ROUND($A$3*G13/$B$3,2),ROUND($A$3*(G13-AT13)/$B$3,2))</f>
        <v>25862.45</v>
      </c>
      <c r="F13" s="32"/>
      <c r="G13" s="33">
        <f>H13+AC13+AT13</f>
        <v>13106.659999999993</v>
      </c>
      <c r="H13" s="20">
        <f>SUMIF(I$12:AB$12,"总值",I13:AB13)</f>
        <v>13106.659999999993</v>
      </c>
      <c r="I13" s="2216">
        <f>'3号楼面积清单'!F229</f>
        <v>13106.659999999993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3</v>
      </c>
      <c r="AY13" s="1809">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0">
        <v>7</v>
      </c>
      <c r="D14" s="2215" t="s">
        <v>3287</v>
      </c>
      <c r="E14" s="16">
        <f>IF($C$3="是",ROUND($A$3*G14/$B$3,2),ROUND($A$3*(G14-AT14)/$B$3,2))</f>
        <v>14485.24</v>
      </c>
      <c r="F14" s="32"/>
      <c r="G14" s="33">
        <f>H14+AC14+AT14</f>
        <v>7340.8800000000037</v>
      </c>
      <c r="H14" s="20">
        <f>SUMIF(I$12:AB$12,"总值",I14:AB14)</f>
        <v>7340.8800000000037</v>
      </c>
      <c r="I14" s="2216">
        <f>'7号楼面积清单'!F123</f>
        <v>7340.8800000000037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7</v>
      </c>
      <c r="AY14" s="1809">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0"/>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0"/>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950"/>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0"/>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0"/>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0"/>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0"/>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0"/>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0"/>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0"/>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0"/>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0"/>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0"/>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0"/>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0"/>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0"/>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c r="D151" s="294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94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94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94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94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94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94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94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94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94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94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94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94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94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94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94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94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94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94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94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94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94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94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6"/>
      <c r="D181" s="294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6"/>
      <c r="D182" s="294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6"/>
      <c r="D183" s="294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6"/>
      <c r="D184" s="294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6"/>
      <c r="D185" s="294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6"/>
      <c r="D186" s="294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6"/>
      <c r="D187" s="294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6"/>
      <c r="D188" s="294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6"/>
      <c r="D189" s="294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6"/>
      <c r="D190" s="294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6"/>
      <c r="D191" s="294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6"/>
      <c r="D192" s="294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6"/>
      <c r="D193" s="294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6"/>
      <c r="D194" s="294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6"/>
      <c r="D195" s="294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6"/>
      <c r="D196" s="294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6"/>
      <c r="D197" s="294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6"/>
      <c r="D198" s="294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6"/>
      <c r="D199" s="294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6"/>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6"/>
      <c r="D201" s="294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6"/>
      <c r="D202" s="294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6"/>
      <c r="D203" s="294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6"/>
      <c r="D204" s="294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50"/>
      <c r="D205" s="294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50"/>
      <c r="D206" s="294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50"/>
      <c r="D207" s="294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6"/>
      <c r="D208" s="294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6"/>
      <c r="D209" s="294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6"/>
      <c r="D210" s="294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6"/>
      <c r="D211" s="294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6"/>
      <c r="D212" s="294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6"/>
      <c r="D213" s="294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6"/>
      <c r="D214" s="294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6"/>
      <c r="D215" s="294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6"/>
      <c r="D216" s="294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6"/>
      <c r="D217" s="294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6"/>
      <c r="D218" s="294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6"/>
      <c r="D219" s="294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6"/>
      <c r="D220" s="294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6"/>
      <c r="D221" s="294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6"/>
      <c r="D222" s="294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6"/>
      <c r="D223" s="294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6"/>
      <c r="D224" s="294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6"/>
      <c r="D225" s="294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6"/>
      <c r="D226" s="294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6"/>
      <c r="D227" s="294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6"/>
      <c r="D228" s="294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6"/>
      <c r="D229" s="294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6"/>
      <c r="D230" s="294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6"/>
      <c r="D231" s="294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6"/>
      <c r="D232" s="294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6"/>
      <c r="D233" s="294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6"/>
      <c r="D234" s="294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6"/>
      <c r="D235" s="294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6"/>
      <c r="D236" s="294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6"/>
      <c r="D237" s="294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6"/>
      <c r="D238" s="294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6"/>
      <c r="D239" s="294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6"/>
      <c r="D240" s="294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6"/>
      <c r="D241" s="294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6"/>
      <c r="D242" s="294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6"/>
      <c r="D243" s="294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6"/>
      <c r="D244" s="294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6"/>
      <c r="D245" s="294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6"/>
      <c r="D246" s="294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6"/>
      <c r="D247" s="294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6"/>
      <c r="D248" s="294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6"/>
      <c r="D249" s="294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6"/>
      <c r="D250" s="294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6"/>
      <c r="D251" s="294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6"/>
      <c r="D252" s="294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6"/>
      <c r="D253" s="294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6"/>
      <c r="D254" s="294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6"/>
      <c r="D255" s="294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6"/>
      <c r="D256" s="294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6"/>
      <c r="D257" s="294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6"/>
      <c r="D258" s="294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6"/>
      <c r="D259" s="294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6"/>
      <c r="D260" s="294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6"/>
      <c r="D261" s="294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6"/>
      <c r="D262" s="294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6"/>
      <c r="D263" s="294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6"/>
      <c r="D264" s="294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6"/>
      <c r="D265" s="294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6"/>
      <c r="D266" s="294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6"/>
      <c r="D267" s="294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6"/>
      <c r="D268" s="294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6"/>
      <c r="D269" s="294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6"/>
      <c r="D270" s="294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6"/>
      <c r="D271" s="294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6"/>
      <c r="D272" s="294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6"/>
      <c r="D273" s="294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6"/>
      <c r="D274" s="294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6"/>
      <c r="D275" s="294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6"/>
      <c r="D276" s="294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6"/>
      <c r="D277" s="294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6"/>
      <c r="D278" s="294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6"/>
      <c r="D279" s="294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6"/>
      <c r="D280" s="294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6"/>
      <c r="D281" s="294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6"/>
      <c r="D282" s="294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6"/>
      <c r="D283" s="294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6"/>
      <c r="D284" s="294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6"/>
      <c r="D285" s="294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6"/>
      <c r="D286" s="294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6"/>
      <c r="D287" s="294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6"/>
      <c r="D288" s="294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6"/>
      <c r="D289" s="294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6"/>
      <c r="D290" s="294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6"/>
      <c r="D291" s="294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6"/>
      <c r="D292" s="294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6"/>
      <c r="D293" s="294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6"/>
      <c r="D294" s="294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6"/>
      <c r="D295" s="294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6"/>
      <c r="D296" s="294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6"/>
      <c r="D297" s="294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6"/>
      <c r="D298" s="294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6"/>
      <c r="D299" s="294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2950"/>
      <c r="D300" s="294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2950"/>
      <c r="D301" s="294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2950"/>
      <c r="D302" s="294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6"/>
      <c r="D303" s="294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6"/>
      <c r="D304" s="294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6"/>
      <c r="D305" s="294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6"/>
      <c r="D306" s="294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6"/>
      <c r="D307" s="294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6"/>
      <c r="D308" s="294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6"/>
      <c r="D309" s="294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6"/>
      <c r="D310" s="294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6"/>
      <c r="D311" s="294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6"/>
      <c r="D312" s="294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6"/>
      <c r="D313" s="294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6"/>
      <c r="D314" s="294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6"/>
      <c r="D315" s="294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6"/>
      <c r="D316" s="294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6"/>
      <c r="D317" s="294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6"/>
      <c r="D318" s="294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6"/>
      <c r="D319" s="294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6"/>
      <c r="D320" s="294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6"/>
      <c r="D321" s="294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6"/>
      <c r="D322" s="294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6"/>
      <c r="D323" s="294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6"/>
      <c r="D324" s="294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6"/>
      <c r="D325" s="294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6"/>
      <c r="D326" s="294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6"/>
      <c r="D327" s="294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6"/>
      <c r="D328" s="294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6"/>
      <c r="D329" s="294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6"/>
      <c r="D330" s="294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6"/>
      <c r="D331" s="294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6"/>
      <c r="D332" s="294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6"/>
      <c r="D333" s="294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6"/>
      <c r="D334" s="294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6"/>
      <c r="D335" s="294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6"/>
      <c r="D336" s="294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6"/>
      <c r="D337" s="294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6"/>
      <c r="D338" s="294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6"/>
      <c r="D339" s="294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6"/>
      <c r="D340" s="294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6"/>
      <c r="D341" s="294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6"/>
      <c r="D342" s="294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6"/>
      <c r="D343" s="294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6"/>
      <c r="D344" s="294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6"/>
      <c r="D345" s="294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6"/>
      <c r="D346" s="294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6"/>
      <c r="D347" s="294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6"/>
      <c r="D348" s="294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6"/>
      <c r="D349" s="294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6"/>
      <c r="D350" s="294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6"/>
      <c r="D351" s="294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6"/>
      <c r="D352" s="294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6"/>
      <c r="D353" s="294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6"/>
      <c r="D354" s="294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6"/>
      <c r="D355" s="294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6"/>
      <c r="D356" s="294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6"/>
      <c r="D357" s="294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6"/>
      <c r="D358" s="294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6"/>
      <c r="D359" s="294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6"/>
      <c r="D360" s="294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6"/>
      <c r="D361" s="294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6"/>
      <c r="D362" s="294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6"/>
      <c r="D363" s="294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6"/>
      <c r="D364" s="294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6"/>
      <c r="D365" s="294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6"/>
      <c r="D366" s="294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6"/>
      <c r="D367" s="294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6"/>
      <c r="D368" s="294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6"/>
      <c r="D369" s="294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6"/>
      <c r="D370" s="294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6"/>
      <c r="D371" s="294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6"/>
      <c r="D372" s="294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6"/>
      <c r="D373" s="294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6"/>
      <c r="D374" s="294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6"/>
      <c r="D375" s="294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6"/>
      <c r="D376" s="294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6"/>
      <c r="D377" s="294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6"/>
      <c r="D378" s="294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6"/>
      <c r="D379" s="294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6"/>
      <c r="D380" s="294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6"/>
      <c r="D381" s="294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6"/>
      <c r="D382" s="294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6"/>
      <c r="D383" s="294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6"/>
      <c r="D384" s="294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6"/>
      <c r="D385" s="294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6"/>
      <c r="D386" s="294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6"/>
      <c r="D387" s="294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6"/>
      <c r="D388" s="294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6"/>
      <c r="D389" s="294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6"/>
      <c r="D390" s="294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6"/>
      <c r="D391" s="294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6"/>
      <c r="D392" s="294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6"/>
      <c r="D393" s="294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6"/>
      <c r="D394" s="294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2950"/>
      <c r="D395" s="294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2950"/>
      <c r="D396" s="294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2950"/>
      <c r="D397" s="294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6"/>
      <c r="D398" s="294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6"/>
      <c r="D399" s="294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6"/>
      <c r="D400" s="294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6"/>
      <c r="D401" s="294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6"/>
      <c r="D402" s="294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6"/>
      <c r="D403" s="294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6"/>
      <c r="D404" s="294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6"/>
      <c r="D405" s="294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6"/>
      <c r="D406" s="294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6"/>
      <c r="D407" s="294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6"/>
      <c r="D408" s="294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6"/>
      <c r="D409" s="294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6"/>
      <c r="D410" s="294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6"/>
      <c r="D411" s="294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6"/>
      <c r="D412" s="294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6"/>
      <c r="D413" s="294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6"/>
      <c r="D414" s="294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6"/>
      <c r="D415" s="294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6"/>
      <c r="D416" s="294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6"/>
      <c r="D417" s="294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6"/>
      <c r="D418" s="294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6"/>
      <c r="D419" s="294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6"/>
      <c r="D420" s="294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6"/>
      <c r="D421" s="294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6"/>
      <c r="D422" s="294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6"/>
      <c r="D423" s="294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6"/>
      <c r="D424" s="294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6"/>
      <c r="D425" s="294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6"/>
      <c r="D426" s="294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6"/>
      <c r="D427" s="294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6"/>
      <c r="D428" s="294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6"/>
      <c r="D429" s="294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6"/>
      <c r="D430" s="294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6"/>
      <c r="D431" s="294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6"/>
      <c r="D432" s="294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6"/>
      <c r="D433" s="294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6"/>
      <c r="D434" s="294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6"/>
      <c r="D435" s="294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6"/>
      <c r="D436" s="294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6"/>
      <c r="D437" s="294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6"/>
      <c r="D438" s="294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6"/>
      <c r="D439" s="294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6"/>
      <c r="D440" s="294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6"/>
      <c r="D441" s="294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6"/>
      <c r="D442" s="294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6"/>
      <c r="D443" s="294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6"/>
      <c r="D444" s="294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6"/>
      <c r="D445" s="294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6"/>
      <c r="D446" s="294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6"/>
      <c r="D447" s="294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6"/>
      <c r="D448" s="294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6"/>
      <c r="D449" s="294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6"/>
      <c r="D450" s="294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6"/>
      <c r="D451" s="294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6"/>
      <c r="D452" s="294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6"/>
      <c r="D453" s="294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6"/>
      <c r="D454" s="294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6"/>
      <c r="D455" s="294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6"/>
      <c r="D456" s="294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6"/>
      <c r="D457" s="294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6"/>
      <c r="D458" s="294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6"/>
      <c r="D459" s="294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6"/>
      <c r="D460" s="294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6"/>
      <c r="D461" s="294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6"/>
      <c r="D462" s="294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6"/>
      <c r="D463" s="294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6"/>
      <c r="D464" s="294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6"/>
      <c r="D465" s="294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6"/>
      <c r="D466" s="294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6"/>
      <c r="D467" s="294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6"/>
      <c r="D468" s="294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6"/>
      <c r="D469" s="294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6"/>
      <c r="D470" s="294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6"/>
      <c r="D471" s="294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6"/>
      <c r="D472" s="294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6"/>
      <c r="D473" s="294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6"/>
      <c r="D474" s="294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6"/>
      <c r="D475" s="294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6"/>
      <c r="D476" s="294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6"/>
      <c r="D477" s="294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6"/>
      <c r="D478" s="294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6"/>
      <c r="D479" s="294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6"/>
      <c r="D480" s="294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6"/>
      <c r="D481" s="294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6"/>
      <c r="D482" s="294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6"/>
      <c r="D483" s="294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6"/>
      <c r="D484" s="294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6"/>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6"/>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6"/>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6"/>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6"/>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2950"/>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2950"/>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2950"/>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6"/>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6"/>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6"/>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6"/>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6"/>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6"/>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6"/>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6"/>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6"/>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6"/>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6"/>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6"/>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6"/>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6"/>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6"/>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6"/>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6"/>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6"/>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6"/>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6"/>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6"/>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6"/>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6"/>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6"/>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6"/>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6"/>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6"/>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6"/>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6"/>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6"/>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6"/>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6"/>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6"/>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6"/>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6"/>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6"/>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6"/>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6"/>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6"/>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6"/>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6"/>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6"/>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6"/>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6"/>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6"/>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6"/>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6"/>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6"/>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6"/>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6"/>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6"/>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6"/>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6"/>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6"/>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6"/>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6"/>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6"/>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6"/>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6"/>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6"/>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6"/>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6"/>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6"/>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6"/>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6"/>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6"/>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6"/>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6"/>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6"/>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6"/>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6"/>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6"/>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6"/>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6"/>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6"/>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6"/>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6"/>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6"/>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6"/>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6"/>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6"/>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6"/>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6"/>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6"/>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6"/>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6"/>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6"/>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6"/>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6"/>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6"/>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6"/>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6"/>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2950"/>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2950"/>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2950"/>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957"/>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958"/>
      <c r="D589" s="2226"/>
    </row>
    <row r="590" spans="1:72" s="2225" customFormat="1">
      <c r="C590" s="2958"/>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9" t="s">
        <v>0</v>
      </c>
      <c r="B1" s="3109" t="s">
        <v>4</v>
      </c>
      <c r="C1" s="3109" t="s">
        <v>5</v>
      </c>
      <c r="D1" s="3110" t="s">
        <v>53</v>
      </c>
      <c r="E1" s="3110" t="s">
        <v>54</v>
      </c>
      <c r="F1" s="3110"/>
      <c r="G1" s="3110"/>
      <c r="H1" s="3110"/>
      <c r="I1" s="3110"/>
      <c r="J1" s="3110"/>
      <c r="K1" s="3110"/>
      <c r="L1" s="3110"/>
      <c r="M1" s="3110"/>
    </row>
    <row r="2" spans="1:13" ht="27" customHeight="1">
      <c r="A2" s="3109"/>
      <c r="B2" s="3109"/>
      <c r="C2" s="3109"/>
      <c r="D2" s="3110"/>
      <c r="E2" s="3110" t="s">
        <v>37</v>
      </c>
      <c r="F2" s="3110" t="s">
        <v>38</v>
      </c>
      <c r="G2" s="3110"/>
      <c r="H2" s="3110"/>
      <c r="I2" s="3110"/>
      <c r="J2" s="3110" t="s">
        <v>39</v>
      </c>
      <c r="K2" s="3110"/>
      <c r="L2" s="3110"/>
      <c r="M2" s="3110"/>
    </row>
    <row r="3" spans="1:13" ht="28.5">
      <c r="A3" s="3109"/>
      <c r="B3" s="3109"/>
      <c r="C3" s="3109"/>
      <c r="D3" s="3110"/>
      <c r="E3" s="31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0" t="s">
        <v>55</v>
      </c>
      <c r="B9" s="3110"/>
      <c r="C9" s="31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M30" sqref="M30"/>
    </sheetView>
  </sheetViews>
  <sheetFormatPr defaultRowHeight="13.5"/>
  <cols>
    <col min="1" max="1" width="9" style="2978"/>
    <col min="2" max="2" width="11" style="2978" customWidth="1"/>
    <col min="3" max="4" width="9.5" style="2978" bestFit="1" customWidth="1"/>
    <col min="5" max="6" width="9" style="2978"/>
    <col min="7" max="7" width="10.5" style="2978" bestFit="1" customWidth="1"/>
    <col min="8" max="9" width="9" style="2978"/>
    <col min="10" max="10" width="11" style="2978" customWidth="1"/>
    <col min="11" max="12" width="9" style="2978"/>
    <col min="13" max="13" width="9.5" style="2978" bestFit="1" customWidth="1"/>
    <col min="14" max="16384" width="9" style="2978"/>
  </cols>
  <sheetData>
    <row r="1" spans="1:24">
      <c r="A1" s="2977"/>
      <c r="B1" s="2977"/>
      <c r="C1" s="2977"/>
      <c r="D1" s="2977"/>
      <c r="E1" s="2977"/>
    </row>
    <row r="2" spans="1:24" ht="40.5">
      <c r="A2" s="2979" t="s">
        <v>3370</v>
      </c>
      <c r="B2" s="2979" t="s">
        <v>3371</v>
      </c>
      <c r="C2" s="3000" t="s">
        <v>3372</v>
      </c>
      <c r="D2" s="2979" t="s">
        <v>37</v>
      </c>
      <c r="E2" s="2981" t="s">
        <v>3373</v>
      </c>
      <c r="F2" s="2981" t="s">
        <v>3374</v>
      </c>
    </row>
    <row r="3" spans="1:24">
      <c r="A3" s="2979" t="s">
        <v>3375</v>
      </c>
      <c r="B3" s="2979">
        <f>'3号楼面积清单'!F229</f>
        <v>13106.659999999993</v>
      </c>
      <c r="C3" s="2979">
        <f>'3号楼面积清单'!G229</f>
        <v>1462.7400000000021</v>
      </c>
      <c r="D3" s="3113">
        <f>B3+B4+B5+B6+B7+B8</f>
        <v>27845.149999999994</v>
      </c>
      <c r="E3" s="2979">
        <v>225</v>
      </c>
      <c r="F3" s="2987">
        <f>ROUND(B3/$J$8*$G$27,2)</f>
        <v>25862.45</v>
      </c>
    </row>
    <row r="4" spans="1:24">
      <c r="A4" s="2979" t="s">
        <v>3376</v>
      </c>
      <c r="B4" s="2979"/>
      <c r="C4" s="2979"/>
      <c r="D4" s="3114"/>
      <c r="E4" s="2979">
        <v>151</v>
      </c>
      <c r="F4" s="2987"/>
    </row>
    <row r="5" spans="1:24">
      <c r="A5" s="2979" t="s">
        <v>3377</v>
      </c>
      <c r="B5" s="2979"/>
      <c r="C5" s="2979"/>
      <c r="D5" s="3114"/>
      <c r="E5" s="2979">
        <v>137</v>
      </c>
      <c r="F5" s="2987"/>
      <c r="H5" s="3021"/>
      <c r="I5" s="3021"/>
      <c r="J5" s="2999" t="s">
        <v>3378</v>
      </c>
      <c r="K5" s="3021"/>
      <c r="L5" s="2999" t="s">
        <v>3379</v>
      </c>
    </row>
    <row r="6" spans="1:24">
      <c r="A6" s="2979" t="s">
        <v>3380</v>
      </c>
      <c r="B6" s="2979">
        <f>'6号楼面积清单'!F127</f>
        <v>7397.6099999999988</v>
      </c>
      <c r="C6" s="2979">
        <f>'6号楼面积清单'!G127</f>
        <v>947.49000000000024</v>
      </c>
      <c r="D6" s="3114"/>
      <c r="E6" s="2979">
        <v>123</v>
      </c>
      <c r="F6" s="2987">
        <f>ROUND(B6/$J$8*$G$27,2)</f>
        <v>14597.18</v>
      </c>
      <c r="H6" s="2999" t="s">
        <v>3381</v>
      </c>
      <c r="I6" s="2999" t="s">
        <v>3382</v>
      </c>
      <c r="J6" s="3021">
        <f>86619.97-1002.57+2037.22+608.56+2719.64</f>
        <v>90982.819999999992</v>
      </c>
      <c r="K6" s="3021"/>
      <c r="L6" s="3021">
        <v>86619.97</v>
      </c>
    </row>
    <row r="7" spans="1:24">
      <c r="A7" s="3022" t="s">
        <v>3383</v>
      </c>
      <c r="B7" s="2979">
        <f>'7号楼面积清单'!F123</f>
        <v>7340.8800000000037</v>
      </c>
      <c r="C7" s="3023">
        <f>'7号楼面积清单'!G123</f>
        <v>929.57999999999993</v>
      </c>
      <c r="D7" s="3114"/>
      <c r="E7" s="3022">
        <f>123-4</f>
        <v>119</v>
      </c>
      <c r="F7" s="2987">
        <f>ROUND(B7/$J$8*$G$27,2)</f>
        <v>14485.24</v>
      </c>
      <c r="H7" s="2999" t="s">
        <v>3384</v>
      </c>
      <c r="I7" s="2999" t="s">
        <v>3385</v>
      </c>
      <c r="J7" s="3021">
        <v>25392.68</v>
      </c>
      <c r="K7" s="3021"/>
      <c r="L7" s="3021">
        <v>25692.68</v>
      </c>
    </row>
    <row r="8" spans="1:24">
      <c r="A8" s="2980" t="s">
        <v>3386</v>
      </c>
      <c r="B8" s="2979"/>
      <c r="C8" s="2979"/>
      <c r="D8" s="3115"/>
      <c r="E8" s="2979">
        <v>203</v>
      </c>
      <c r="F8" s="2987">
        <f>ROUND(B8/$J$8*$G$27,2)</f>
        <v>0</v>
      </c>
      <c r="H8" s="3116" t="s">
        <v>3387</v>
      </c>
      <c r="I8" s="3116"/>
      <c r="J8" s="3021">
        <f>SUM(J6:J7)</f>
        <v>116375.5</v>
      </c>
      <c r="K8" s="3021"/>
      <c r="L8" s="3021">
        <f>L6+L7</f>
        <v>112312.65</v>
      </c>
    </row>
    <row r="9" spans="1:24">
      <c r="A9" s="2981" t="s">
        <v>3387</v>
      </c>
      <c r="B9" s="2983">
        <f>SUM(B3:B8)</f>
        <v>27845.149999999994</v>
      </c>
      <c r="C9" s="2979">
        <f>SUM(C3:C8)</f>
        <v>3339.8100000000022</v>
      </c>
      <c r="D9" s="2983"/>
      <c r="E9" s="2979">
        <f>SUM(E3:E8)-E4-E5</f>
        <v>670</v>
      </c>
      <c r="F9" s="2987">
        <f>SUM(F3:F8)</f>
        <v>54944.87</v>
      </c>
      <c r="H9" s="3021"/>
      <c r="I9" s="3021"/>
      <c r="J9" s="3021"/>
      <c r="K9" s="2999" t="s">
        <v>3388</v>
      </c>
      <c r="L9" s="3021">
        <f>ROUND(L8/G27,2)</f>
        <v>0.49</v>
      </c>
    </row>
    <row r="10" spans="1:24">
      <c r="A10" s="2984"/>
      <c r="B10" s="2985"/>
      <c r="C10" s="2985"/>
      <c r="D10" s="2985"/>
      <c r="E10" s="2985"/>
    </row>
    <row r="11" spans="1:24">
      <c r="D11" s="3032"/>
      <c r="G11" s="2986"/>
    </row>
    <row r="15" spans="1:24">
      <c r="A15" s="3117" t="s">
        <v>3389</v>
      </c>
      <c r="B15" s="3118"/>
      <c r="C15" s="3118"/>
      <c r="D15" s="3118"/>
      <c r="E15" s="3118"/>
      <c r="F15" s="3118"/>
      <c r="G15" s="3118"/>
      <c r="H15" s="3118"/>
      <c r="I15" s="3118"/>
      <c r="J15" s="3118"/>
      <c r="K15" s="3118"/>
      <c r="L15" s="3118"/>
      <c r="M15" s="3118"/>
      <c r="N15" s="3118"/>
      <c r="O15" s="3118"/>
      <c r="P15" s="3118"/>
      <c r="Q15" s="3118"/>
      <c r="R15" s="3118"/>
      <c r="S15" s="3118"/>
      <c r="T15" s="3118"/>
      <c r="U15" s="3118"/>
      <c r="V15" s="3118"/>
      <c r="W15" s="3118"/>
      <c r="X15" s="3119"/>
    </row>
    <row r="16" spans="1:24">
      <c r="A16" s="3117" t="s">
        <v>4196</v>
      </c>
      <c r="B16" s="3118"/>
      <c r="C16" s="3118"/>
      <c r="D16" s="3118"/>
      <c r="E16" s="3118"/>
      <c r="F16" s="3118"/>
      <c r="G16" s="3118"/>
      <c r="H16" s="3118"/>
      <c r="I16" s="3118"/>
      <c r="J16" s="3118"/>
      <c r="K16" s="3118"/>
      <c r="L16" s="3118"/>
      <c r="M16" s="3118"/>
      <c r="N16" s="3118"/>
      <c r="O16" s="3118"/>
      <c r="P16" s="3118"/>
      <c r="Q16" s="3118"/>
      <c r="R16" s="3118"/>
      <c r="S16" s="3118"/>
      <c r="T16" s="3118"/>
      <c r="U16" s="3118"/>
      <c r="V16" s="3118"/>
      <c r="W16" s="3118"/>
      <c r="X16" s="3119"/>
    </row>
    <row r="17" spans="1:24">
      <c r="A17" s="3120" t="s">
        <v>3390</v>
      </c>
      <c r="B17" s="3121"/>
      <c r="C17" s="3121"/>
      <c r="D17" s="3121"/>
      <c r="E17" s="3121"/>
      <c r="F17" s="3121"/>
      <c r="G17" s="3121"/>
      <c r="H17" s="3121"/>
      <c r="I17" s="3121"/>
      <c r="J17" s="3121"/>
      <c r="K17" s="3121"/>
      <c r="L17" s="3121"/>
      <c r="M17" s="3121"/>
      <c r="N17" s="3121"/>
      <c r="O17" s="3121"/>
      <c r="P17" s="3121"/>
      <c r="Q17" s="3121"/>
      <c r="R17" s="3121"/>
      <c r="S17" s="3121"/>
      <c r="T17" s="3121"/>
      <c r="U17" s="3121"/>
      <c r="V17" s="3121"/>
      <c r="W17" s="3121"/>
      <c r="X17" s="3122"/>
    </row>
    <row r="19" spans="1:24">
      <c r="B19" s="2982"/>
    </row>
    <row r="23" spans="1:24">
      <c r="A23" s="3111" t="s">
        <v>3391</v>
      </c>
      <c r="B23" s="3111"/>
      <c r="C23" s="3111"/>
      <c r="D23" s="3111"/>
    </row>
    <row r="24" spans="1:24">
      <c r="A24" s="2987">
        <v>1</v>
      </c>
      <c r="B24" s="2988" t="s">
        <v>3392</v>
      </c>
      <c r="C24" s="2988" t="s">
        <v>3393</v>
      </c>
      <c r="D24" s="2988" t="s">
        <v>3394</v>
      </c>
    </row>
    <row r="25" spans="1:24">
      <c r="A25" s="2987"/>
      <c r="B25" s="2987"/>
      <c r="C25" s="2988" t="s">
        <v>3395</v>
      </c>
      <c r="D25" s="2988" t="s">
        <v>3396</v>
      </c>
      <c r="F25" s="3111" t="s">
        <v>3397</v>
      </c>
      <c r="G25" s="3112"/>
    </row>
    <row r="26" spans="1:24">
      <c r="A26" s="2987"/>
      <c r="B26" s="2987"/>
      <c r="C26" s="2988" t="s">
        <v>3398</v>
      </c>
      <c r="D26" s="2988" t="s">
        <v>3399</v>
      </c>
      <c r="F26" s="2989" t="s">
        <v>3400</v>
      </c>
      <c r="G26" s="2990">
        <v>41533</v>
      </c>
    </row>
    <row r="27" spans="1:24">
      <c r="F27" s="2989" t="s">
        <v>3401</v>
      </c>
      <c r="G27" s="3034">
        <v>229635.6</v>
      </c>
    </row>
    <row r="28" spans="1:24">
      <c r="F28" s="2989" t="s">
        <v>3402</v>
      </c>
      <c r="G28" s="2991">
        <v>24111.738000000001</v>
      </c>
    </row>
    <row r="29" spans="1:24">
      <c r="F29" s="2989" t="s">
        <v>3403</v>
      </c>
      <c r="G29" s="2991">
        <v>1050</v>
      </c>
    </row>
    <row r="30" spans="1:24">
      <c r="F30" s="2989" t="s">
        <v>3404</v>
      </c>
      <c r="G30" s="2991">
        <f>ROUND(G29/G31,0)</f>
        <v>1615</v>
      </c>
    </row>
    <row r="31" spans="1:24">
      <c r="F31" s="2989" t="s">
        <v>3405</v>
      </c>
      <c r="G31" s="2991">
        <v>0.65</v>
      </c>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H37" sqref="H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32" t="s">
        <v>1935</v>
      </c>
      <c r="B2" s="3132"/>
      <c r="C2" s="3132"/>
      <c r="D2" s="970" t="s">
        <v>1911</v>
      </c>
      <c r="E2" s="2229" t="s">
        <v>1912</v>
      </c>
      <c r="F2" s="1395"/>
      <c r="G2" s="2230"/>
      <c r="H2" s="2231"/>
      <c r="I2" s="2232" t="s">
        <v>1936</v>
      </c>
      <c r="J2" s="1395"/>
      <c r="K2" s="1395"/>
      <c r="L2" s="1395"/>
      <c r="M2" s="1395"/>
      <c r="N2" s="1430"/>
      <c r="O2" s="1395"/>
      <c r="P2" s="1395"/>
    </row>
    <row r="3" spans="1:16" ht="15.75" thickBot="1">
      <c r="A3" s="3133" t="s">
        <v>1909</v>
      </c>
      <c r="B3" s="3133"/>
      <c r="C3" s="3133"/>
      <c r="D3" s="46">
        <f>'数据-基础表'!AY6</f>
        <v>40347.69</v>
      </c>
      <c r="E3" s="46">
        <f>'数据-基础表'!AZ5</f>
        <v>20447.539999999997</v>
      </c>
      <c r="F3" s="1395"/>
      <c r="G3" s="1402"/>
      <c r="H3" s="1250" t="s">
        <v>1910</v>
      </c>
      <c r="I3" s="55">
        <f>ROUND('数据-基础表'!B3/'数据-基础表'!A3,2)</f>
        <v>0.51</v>
      </c>
      <c r="J3" s="1395"/>
      <c r="K3" s="1395"/>
      <c r="L3" s="1395"/>
      <c r="M3" s="1395"/>
      <c r="N3" s="1430"/>
      <c r="O3" s="1395"/>
      <c r="P3" s="1395"/>
    </row>
    <row r="4" spans="1:16" ht="15">
      <c r="A4" s="3134"/>
      <c r="B4" s="3135"/>
      <c r="C4" s="3136"/>
      <c r="D4" s="2233" t="s">
        <v>1911</v>
      </c>
      <c r="E4" s="2234" t="s">
        <v>1912</v>
      </c>
      <c r="F4" s="1395"/>
      <c r="G4" s="2235" t="s">
        <v>1937</v>
      </c>
      <c r="H4" s="1250" t="s">
        <v>1917</v>
      </c>
      <c r="I4" s="55">
        <f>ROUND(SUMIF('数据-基础表'!I9:AS9,"地上",'数据-基础表'!I5:AS5)/'数据-基础表'!A3,2)</f>
        <v>0.51</v>
      </c>
      <c r="J4" s="1395"/>
      <c r="K4" s="1395"/>
      <c r="L4" s="1395"/>
      <c r="M4" s="1395"/>
      <c r="N4" s="1430"/>
      <c r="O4" s="1395"/>
      <c r="P4" s="1395"/>
    </row>
    <row r="5" spans="1:16">
      <c r="A5" s="47" t="s">
        <v>1913</v>
      </c>
      <c r="B5" s="3137" t="s">
        <v>1914</v>
      </c>
      <c r="C5" s="3137"/>
      <c r="D5" s="48">
        <f>ROUND($D$3*E5/$E$3,2)</f>
        <v>0</v>
      </c>
      <c r="E5" s="49">
        <f>SUMIF('数据-基础表'!$11:$11,"住宅",'数据-基础表'!$5:$5)</f>
        <v>0</v>
      </c>
      <c r="F5" s="1395"/>
      <c r="G5" s="1402"/>
      <c r="H5" s="1250" t="s">
        <v>1910</v>
      </c>
      <c r="I5" s="55">
        <f>ROUND(E31/D31,2)</f>
        <v>0.51</v>
      </c>
      <c r="J5" s="1395"/>
      <c r="K5" s="1395"/>
      <c r="L5" s="1395"/>
      <c r="M5" s="1395"/>
      <c r="N5" s="1395"/>
      <c r="O5" s="1395"/>
      <c r="P5" s="1395"/>
    </row>
    <row r="6" spans="1:16" ht="15" thickBot="1">
      <c r="A6" s="2236"/>
      <c r="B6" s="3137" t="s">
        <v>1915</v>
      </c>
      <c r="C6" s="3137"/>
      <c r="D6" s="48">
        <f>ROUND($D$3*E6/$E$3,2)</f>
        <v>40347.69</v>
      </c>
      <c r="E6" s="49">
        <f>E3-E5</f>
        <v>20447.539999999997</v>
      </c>
      <c r="F6" s="1395"/>
      <c r="G6" s="2237" t="s">
        <v>1916</v>
      </c>
      <c r="H6" s="1402" t="s">
        <v>1917</v>
      </c>
      <c r="I6" s="942">
        <f>ROUND(F31/D31,2)</f>
        <v>0.51</v>
      </c>
      <c r="J6" s="1395"/>
      <c r="K6" s="1395"/>
      <c r="L6" s="1395"/>
      <c r="M6" s="1395"/>
      <c r="N6" s="1395"/>
      <c r="O6" s="1395"/>
      <c r="P6" s="1395"/>
    </row>
    <row r="7" spans="1:16" ht="15">
      <c r="A7" s="3129"/>
      <c r="B7" s="3130"/>
      <c r="C7" s="3131"/>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40347.69</v>
      </c>
      <c r="E8" s="51">
        <f>SUMIF('数据-基础表'!BB10:BK10,"地上",'数据-基础表'!BB5:BK5)</f>
        <v>20447.539999999997</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40347.69</v>
      </c>
      <c r="E16" s="53">
        <f>SUM(E8:E15)</f>
        <v>20447.539999999997</v>
      </c>
      <c r="F16" s="1395"/>
      <c r="G16" s="2239"/>
      <c r="H16" s="2242" t="s">
        <v>1939</v>
      </c>
      <c r="I16" s="2243"/>
      <c r="J16" s="1395"/>
      <c r="K16" s="3126" t="s">
        <v>1939</v>
      </c>
      <c r="L16" s="3127"/>
      <c r="M16" s="3127"/>
      <c r="N16" s="3127"/>
      <c r="O16" s="3127"/>
      <c r="P16" s="3128"/>
    </row>
    <row r="17" spans="1:19" ht="15">
      <c r="A17" s="2244" t="s">
        <v>1940</v>
      </c>
      <c r="B17" s="2245" t="s">
        <v>1941</v>
      </c>
      <c r="C17" s="2246" t="s">
        <v>1942</v>
      </c>
      <c r="D17" s="2247" t="s">
        <v>1930</v>
      </c>
      <c r="E17" s="2248" t="s">
        <v>1931</v>
      </c>
      <c r="F17" s="2249"/>
      <c r="G17" s="2250"/>
      <c r="H17" s="2251" t="s">
        <v>1943</v>
      </c>
      <c r="I17" s="2252" t="s">
        <v>1928</v>
      </c>
      <c r="J17" s="1395"/>
      <c r="K17" s="3123" t="s">
        <v>1944</v>
      </c>
      <c r="L17" s="3124"/>
      <c r="M17" s="3125"/>
      <c r="N17" s="3123" t="s">
        <v>1945</v>
      </c>
      <c r="O17" s="3124"/>
      <c r="P17" s="3125"/>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60" t="s">
        <v>4198</v>
      </c>
      <c r="D19" s="48">
        <f>ROUND($D$3*E19/$E$3,2)</f>
        <v>40347.69</v>
      </c>
      <c r="E19" s="56">
        <f t="shared" ref="E19:E26" si="1">SUM(F19:G19)</f>
        <v>20447.539999999997</v>
      </c>
      <c r="F19" s="57">
        <f>'数据-基础表'!I5</f>
        <v>20447.539999999997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40347.69</v>
      </c>
      <c r="S19" s="1251">
        <f t="shared" si="5"/>
        <v>20447.539999999997</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40347.69</v>
      </c>
      <c r="E27" s="1397">
        <f>IF(SUM(E19:E26)='数据-基础表'!BA5,SUM(E19:E26),IF(F27="地上面积有误","面积有误","地下面积有误"))</f>
        <v>20447.539999999997</v>
      </c>
      <c r="F27" s="1396">
        <f>IF(SUM(F19:F26)=E8,SUM(F19:F26),"地上面积有误")</f>
        <v>20447.539999999997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40347.69</v>
      </c>
      <c r="S27" s="1250">
        <f>IF(SUM(S19:S26)=$E$3,SUM(S19:S26),SUM(S19:S26)&amp;"误差"&amp;ROUND(SUM(S19:S26)-E3,2))</f>
        <v>20447.539999999997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40347.69</v>
      </c>
      <c r="E31" s="729">
        <f>E27+E30</f>
        <v>20447.539999999997</v>
      </c>
      <c r="F31" s="730">
        <f>F27+F30</f>
        <v>20447.539999999997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8">
      <c r="D33" s="2273"/>
    </row>
    <row r="35" spans="4:8">
      <c r="E35" s="3386" t="s">
        <v>4496</v>
      </c>
      <c r="F35" s="2228">
        <f ca="1">结果表!G20</f>
        <v>10474</v>
      </c>
      <c r="H35" s="2228">
        <f ca="1">F35-F37-F38</f>
        <v>4589.6862745098042</v>
      </c>
    </row>
    <row r="36" spans="4:8">
      <c r="E36" s="3386" t="s">
        <v>4494</v>
      </c>
      <c r="F36" s="2228">
        <f>'土地比较法-住宅、综合'!C47</f>
        <v>1675</v>
      </c>
      <c r="H36" s="2228">
        <f ca="1">H35/F35</f>
        <v>0.4381980403389158</v>
      </c>
    </row>
    <row r="37" spans="4:8">
      <c r="E37" s="3386" t="s">
        <v>4495</v>
      </c>
      <c r="F37" s="2228">
        <f>F36/I5</f>
        <v>3284.3137254901962</v>
      </c>
    </row>
    <row r="38" spans="4:8">
      <c r="E38" s="3386" t="s">
        <v>4497</v>
      </c>
      <c r="F38" s="2228">
        <f>'数据-取费表'!L6</f>
        <v>2600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58" sqref="B5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43598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3288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8" t="s">
        <v>2005</v>
      </c>
      <c r="AP5" s="1252" t="s">
        <v>2006</v>
      </c>
      <c r="AQ5" s="2307" t="s">
        <v>2007</v>
      </c>
      <c r="AR5" s="2307"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8" t="str">
        <f>'数据-汇总表'!C19</f>
        <v>3和7</v>
      </c>
      <c r="B6" s="2309" t="str">
        <f>IF(A6=0,"","经营性")</f>
        <v>经营性</v>
      </c>
      <c r="C6" s="2310"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20447.539999999997</v>
      </c>
      <c r="L6" s="803">
        <v>2600</v>
      </c>
      <c r="M6" s="75">
        <f t="shared" ref="M6:M14" si="0">ROUND(K6*L6/10000,0)</f>
        <v>5316</v>
      </c>
      <c r="N6" s="801">
        <v>0.97</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6">
        <f>ROUND($L$14*S6/10000,0)</f>
        <v>0</v>
      </c>
      <c r="U6" s="78">
        <v>2.2000000000000002</v>
      </c>
      <c r="V6" s="79">
        <v>0.03</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1.4999999999999999E-2</v>
      </c>
      <c r="AN6" s="2311" t="s">
        <v>4199</v>
      </c>
      <c r="AO6" s="55">
        <f ca="1">SUMIF(INDIRECT("'"&amp;AN6&amp;"'"&amp;"!A:A"),"总价",INDIRECT("'"&amp;AN6&amp;"'"&amp;"!B:B"))</f>
        <v>23324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0.94799999999999995</v>
      </c>
      <c r="H16" s="99">
        <f>ROUND(SUMPRODUCT(H6:H13,K6:K13)/SUMPRODUCT((H6:H13&gt;0)*(K6:K13)),3)</f>
        <v>0.05</v>
      </c>
      <c r="I16" s="100"/>
      <c r="J16" s="100"/>
      <c r="K16" s="101">
        <f>SUM(K6:K15)</f>
        <v>20447.539999999997</v>
      </c>
      <c r="L16" s="102">
        <f>ROUND(M16*10000/SUM(K6:K14),0)</f>
        <v>2600</v>
      </c>
      <c r="M16" s="102">
        <f>SUM(M6:M14)</f>
        <v>5316</v>
      </c>
      <c r="N16" s="103">
        <f>ROUND(SUMPRODUCT(M6:M14,N6:N14)/M16,3)</f>
        <v>0.97</v>
      </c>
      <c r="O16" s="102">
        <f>SUM(O6:O14)</f>
        <v>0</v>
      </c>
      <c r="P16" s="102">
        <f>SUM(P6:P14)</f>
        <v>0</v>
      </c>
      <c r="Q16" s="104">
        <f>ROUND(SUMPRODUCT(Q6:Q13,K6:K13)/SUMPRODUCT((Q6:Q13&gt;0)*(K6:K13)),2)</f>
        <v>0.2</v>
      </c>
      <c r="R16" s="1258">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3</v>
      </c>
      <c r="C20" s="2279" t="s">
        <v>2018</v>
      </c>
      <c r="D20" s="2280"/>
      <c r="E20" s="2279"/>
      <c r="F20" s="2279"/>
      <c r="G20" s="2279"/>
      <c r="H20" s="2279"/>
      <c r="I20" s="2279"/>
      <c r="J20" s="2279"/>
      <c r="K20" s="168"/>
      <c r="L20" s="168"/>
      <c r="M20" s="1584"/>
      <c r="N20" s="1584">
        <v>2017</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3</v>
      </c>
      <c r="C21" s="2279"/>
      <c r="D21" s="2280"/>
      <c r="E21" s="2279"/>
      <c r="F21" s="2279"/>
      <c r="G21" s="2279"/>
      <c r="H21" s="2279"/>
      <c r="I21" s="2279"/>
      <c r="J21" s="2279"/>
      <c r="K21" s="168"/>
      <c r="L21" s="168"/>
      <c r="M21" s="1584"/>
      <c r="N21" s="1584">
        <v>2019</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3</v>
      </c>
      <c r="C22" s="2279"/>
      <c r="D22" s="2280"/>
      <c r="E22" s="2279"/>
      <c r="F22" s="2279"/>
      <c r="G22" s="2279"/>
      <c r="H22" s="2279"/>
      <c r="I22" s="2279"/>
      <c r="J22" s="2279"/>
      <c r="K22" s="168"/>
      <c r="L22" s="168"/>
      <c r="M22" s="1584"/>
      <c r="N22" s="1584">
        <f>1-(N21-N20)/60</f>
        <v>0.96666666666666667</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3</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140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180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180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180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0.03</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0.03</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137</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v>5</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8" t="s">
        <v>2080</v>
      </c>
      <c r="B1" s="3139"/>
      <c r="C1" s="3139"/>
      <c r="D1" s="3139"/>
      <c r="E1" s="3139"/>
      <c r="F1" s="3139"/>
      <c r="G1" s="313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27845.149999999994</v>
      </c>
      <c r="C1" s="1745"/>
      <c r="D1" s="1745"/>
      <c r="E1" s="1745"/>
      <c r="F1" s="1745"/>
      <c r="G1" s="1743"/>
    </row>
    <row r="2" spans="1:10" ht="16.5">
      <c r="A2" s="1746" t="s">
        <v>1349</v>
      </c>
      <c r="B2" s="1746">
        <f>SUM(C14:C23)</f>
        <v>54944.87</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29520</v>
      </c>
      <c r="C5" s="1746">
        <f ca="1">ROUND(B5*10000/$B$1,0)</f>
        <v>10601</v>
      </c>
      <c r="D5" s="1746">
        <f ca="1">ROUND(B5*10000/$B$2,0)</f>
        <v>5373</v>
      </c>
      <c r="E5" s="1745"/>
      <c r="F5" s="1743"/>
      <c r="G5" s="1743"/>
    </row>
    <row r="6" spans="1:10" ht="16.5">
      <c r="A6" s="1746" t="s">
        <v>1352</v>
      </c>
      <c r="B6" s="1746">
        <f ca="1">SUM(G14:G23)</f>
        <v>29520</v>
      </c>
      <c r="C6" s="1746">
        <f ca="1">ROUND(B6*10000/$B$1,0)</f>
        <v>10601</v>
      </c>
      <c r="D6" s="1746">
        <f ca="1">ROUND(B6*10000/$B$2,0)</f>
        <v>5373</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20447.539999999997</v>
      </c>
      <c r="C14" s="1744">
        <f>结果表!C118</f>
        <v>40347.69</v>
      </c>
      <c r="D14" s="1744">
        <f ca="1">结果表!H118</f>
        <v>21417</v>
      </c>
      <c r="E14" s="1744">
        <f ca="1">ROUND(D14*10000/B14,0)</f>
        <v>10474</v>
      </c>
      <c r="F14" s="1744">
        <f ca="1">ROUND(D14*10000/C14,0)</f>
        <v>5308</v>
      </c>
      <c r="G14" s="1744">
        <f ca="1">结果表!D122</f>
        <v>21417</v>
      </c>
      <c r="H14" s="1744" t="str">
        <f>结果表!D124</f>
        <v>——</v>
      </c>
      <c r="I14" s="1744" t="str">
        <f>结果表!D126</f>
        <v>——</v>
      </c>
      <c r="J14" s="1743"/>
    </row>
    <row r="15" spans="1:10" ht="16.5">
      <c r="A15" s="1742" t="s">
        <v>1345</v>
      </c>
      <c r="B15" s="1749">
        <f>[2]系统读取表!$B$1</f>
        <v>7397.6099999999988</v>
      </c>
      <c r="C15" s="1749">
        <f>[2]系统读取表!$B$2</f>
        <v>14597.18</v>
      </c>
      <c r="D15" s="1749">
        <f ca="1">[2]系统读取表!$B$5</f>
        <v>8103</v>
      </c>
      <c r="E15" s="1744">
        <f t="shared" ref="E15:E23" ca="1" si="0">ROUND(D15*10000/B15,0)</f>
        <v>10954</v>
      </c>
      <c r="F15" s="1744">
        <f t="shared" ref="F15:F23" ca="1" si="1">ROUND(D15*10000/C15,0)</f>
        <v>5551</v>
      </c>
      <c r="G15" s="1750">
        <f ca="1">[2]系统读取表!$B$6</f>
        <v>8103</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4" t="s">
        <v>3359</v>
      </c>
      <c r="H1" s="2424" t="str">
        <f>IF(G1="现房","——","估价对象范围")</f>
        <v>——</v>
      </c>
      <c r="I1" s="2425"/>
    </row>
    <row r="2" spans="1:12" ht="21.75" customHeight="1" thickBot="1">
      <c r="A2" s="3212" t="str">
        <f>项目基本情况!S2</f>
        <v>房地产</v>
      </c>
      <c r="B2" s="3213"/>
      <c r="C2" s="3213"/>
      <c r="D2" s="3213"/>
      <c r="E2" s="3213"/>
      <c r="F2" s="3213"/>
      <c r="G2" s="3213"/>
      <c r="H2" s="3213"/>
      <c r="I2" s="3214"/>
    </row>
    <row r="3" spans="1:12" ht="12.75">
      <c r="A3" s="3215" t="s">
        <v>2119</v>
      </c>
      <c r="B3" s="3216"/>
      <c r="C3" s="3216"/>
      <c r="D3" s="3216"/>
      <c r="E3" s="3216"/>
      <c r="F3" s="3216"/>
      <c r="G3" s="3216"/>
      <c r="H3" s="3216"/>
      <c r="I3" s="3216"/>
    </row>
    <row r="4" spans="1:12" ht="14.25">
      <c r="A4" s="2428" t="s">
        <v>2120</v>
      </c>
      <c r="B4" s="2429" t="s">
        <v>2121</v>
      </c>
      <c r="C4" s="2430" t="s">
        <v>3360</v>
      </c>
      <c r="D4" s="2430" t="s">
        <v>4199</v>
      </c>
      <c r="E4" s="3196" t="s">
        <v>2122</v>
      </c>
      <c r="F4" s="3209"/>
      <c r="G4" s="3209"/>
      <c r="H4" s="3209"/>
      <c r="I4" s="3197"/>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87" t="s">
        <v>2123</v>
      </c>
      <c r="B5" s="3101">
        <v>25</v>
      </c>
      <c r="C5" s="3217"/>
      <c r="D5" s="3205"/>
      <c r="E5" s="140" t="s">
        <v>2124</v>
      </c>
      <c r="F5" s="2432"/>
      <c r="G5" s="2432"/>
      <c r="H5" s="2432"/>
      <c r="I5" s="1834"/>
    </row>
    <row r="6" spans="1:12" ht="12.75">
      <c r="A6" s="3187"/>
      <c r="B6" s="3101"/>
      <c r="C6" s="3219"/>
      <c r="D6" s="3205"/>
      <c r="E6" s="140" t="s">
        <v>2125</v>
      </c>
      <c r="F6" s="2432"/>
      <c r="G6" s="2432"/>
      <c r="H6" s="2432"/>
      <c r="I6" s="1834"/>
    </row>
    <row r="7" spans="1:12" ht="12.75">
      <c r="A7" s="3187"/>
      <c r="B7" s="3101"/>
      <c r="C7" s="3218"/>
      <c r="D7" s="3205"/>
      <c r="E7" s="140" t="s">
        <v>2126</v>
      </c>
      <c r="F7" s="2432"/>
      <c r="G7" s="2432"/>
      <c r="H7" s="2432"/>
      <c r="I7" s="1834"/>
    </row>
    <row r="8" spans="1:12" ht="12.75">
      <c r="A8" s="3187" t="s">
        <v>2127</v>
      </c>
      <c r="B8" s="3101">
        <v>15</v>
      </c>
      <c r="C8" s="3217"/>
      <c r="D8" s="3205"/>
      <c r="E8" s="140" t="s">
        <v>2128</v>
      </c>
      <c r="F8" s="2432"/>
      <c r="G8" s="2432"/>
      <c r="H8" s="2432"/>
      <c r="I8" s="1834"/>
    </row>
    <row r="9" spans="1:12" ht="12.75">
      <c r="A9" s="3187"/>
      <c r="B9" s="3101"/>
      <c r="C9" s="3218"/>
      <c r="D9" s="3205"/>
      <c r="E9" s="140" t="s">
        <v>2129</v>
      </c>
      <c r="F9" s="2432"/>
      <c r="G9" s="2432"/>
      <c r="H9" s="2432"/>
      <c r="I9" s="1834"/>
    </row>
    <row r="10" spans="1:12" ht="12.75">
      <c r="A10" s="3187" t="s">
        <v>2130</v>
      </c>
      <c r="B10" s="3101">
        <v>15</v>
      </c>
      <c r="C10" s="3217"/>
      <c r="D10" s="3205"/>
      <c r="E10" s="140" t="s">
        <v>2131</v>
      </c>
      <c r="F10" s="2432"/>
      <c r="G10" s="2432"/>
      <c r="H10" s="2432"/>
      <c r="I10" s="1834"/>
    </row>
    <row r="11" spans="1:12" ht="12.75">
      <c r="A11" s="3187"/>
      <c r="B11" s="3101"/>
      <c r="C11" s="3218"/>
      <c r="D11" s="3205"/>
      <c r="E11" s="140" t="s">
        <v>2132</v>
      </c>
      <c r="F11" s="2432"/>
      <c r="G11" s="2432"/>
      <c r="H11" s="2432"/>
      <c r="I11" s="1834"/>
    </row>
    <row r="12" spans="1:12" ht="12.75">
      <c r="A12" s="3187" t="s">
        <v>2133</v>
      </c>
      <c r="B12" s="3101">
        <v>15</v>
      </c>
      <c r="C12" s="3217"/>
      <c r="D12" s="3205"/>
      <c r="E12" s="140" t="s">
        <v>2134</v>
      </c>
      <c r="F12" s="2432"/>
      <c r="G12" s="2432"/>
      <c r="H12" s="2432"/>
      <c r="I12" s="1834"/>
    </row>
    <row r="13" spans="1:12" ht="12.75">
      <c r="A13" s="3187"/>
      <c r="B13" s="3101"/>
      <c r="C13" s="3218"/>
      <c r="D13" s="3205"/>
      <c r="E13" s="140" t="s">
        <v>2135</v>
      </c>
      <c r="F13" s="2432"/>
      <c r="G13" s="2432"/>
      <c r="H13" s="2432"/>
      <c r="I13" s="1834"/>
    </row>
    <row r="14" spans="1:12" ht="12.75">
      <c r="A14" s="3187" t="s">
        <v>2136</v>
      </c>
      <c r="B14" s="3101">
        <v>30</v>
      </c>
      <c r="C14" s="3217">
        <v>1</v>
      </c>
      <c r="D14" s="3205">
        <v>1</v>
      </c>
      <c r="E14" s="140" t="s">
        <v>2137</v>
      </c>
      <c r="F14" s="2432"/>
      <c r="G14" s="2432"/>
      <c r="H14" s="2432"/>
      <c r="I14" s="1834"/>
    </row>
    <row r="15" spans="1:12" ht="12.75">
      <c r="A15" s="3187"/>
      <c r="B15" s="3101"/>
      <c r="C15" s="3219"/>
      <c r="D15" s="3205"/>
      <c r="E15" s="140" t="s">
        <v>2138</v>
      </c>
      <c r="F15" s="2432"/>
      <c r="G15" s="2432"/>
      <c r="H15" s="2432"/>
      <c r="I15" s="1834"/>
    </row>
    <row r="16" spans="1:12" ht="12.75">
      <c r="A16" s="3187"/>
      <c r="B16" s="3101"/>
      <c r="C16" s="3218"/>
      <c r="D16" s="3205"/>
      <c r="E16" s="140" t="s">
        <v>2139</v>
      </c>
      <c r="F16" s="2432"/>
      <c r="G16" s="2432"/>
      <c r="H16" s="2432"/>
      <c r="I16" s="1834"/>
    </row>
    <row r="17" spans="1:35" ht="15">
      <c r="A17" s="2433" t="s">
        <v>2140</v>
      </c>
      <c r="B17" s="64"/>
      <c r="C17" s="141">
        <f>SUM(C5:C16)</f>
        <v>1</v>
      </c>
      <c r="D17" s="141">
        <f>SUM(D5:D16)</f>
        <v>1</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20447.539999999997</v>
      </c>
      <c r="M18" s="2431">
        <f>IF(C1="",'数据-汇总表'!E3,SUMIF(项目类型,C1,'数据-汇总表'!E17:E26))</f>
        <v>20447.539999999997</v>
      </c>
    </row>
    <row r="19" spans="1:35" ht="15">
      <c r="A19" s="2437" t="s">
        <v>2145</v>
      </c>
      <c r="B19" s="2438" t="s">
        <v>2146</v>
      </c>
      <c r="C19" s="143">
        <f ca="1">SUMIF(INDIRECT("'"&amp;C4&amp;"'"&amp;"!A:A"),结果表!B19,INDIRECT("'"&amp;C4&amp;"'"&amp;"!B:B"))</f>
        <v>19510</v>
      </c>
      <c r="D19" s="144">
        <f ca="1">SUMIF(INDIRECT("'"&amp;D4&amp;"'"&amp;"!A:A"),结果表!B19,INDIRECT("'"&amp;D4&amp;"'"&amp;"!B:B"))</f>
        <v>23324</v>
      </c>
      <c r="E19" s="2437" t="s">
        <v>2147</v>
      </c>
      <c r="F19" s="2438" t="s">
        <v>2146</v>
      </c>
      <c r="G19" s="145">
        <f ca="1">ROUND(C19*$C$18+D19*$D$18,0)</f>
        <v>21417</v>
      </c>
      <c r="H19" s="2439" t="s">
        <v>2148</v>
      </c>
      <c r="I19" s="138"/>
      <c r="K19" s="2431" t="s">
        <v>2149</v>
      </c>
      <c r="L19" s="2431">
        <f>IF(C1="",'数据-汇总表'!D3,SUMIF(项目类型,C1,'数据-汇总表'!D17:D26)+SUMIF(项目类型,C1,'数据-汇总表'!H17:H27))</f>
        <v>40347.69</v>
      </c>
      <c r="M19" s="2431">
        <f>IF(C1="",'数据-汇总表'!D3,SUMIF(项目类型,C1,'数据-汇总表'!D17:D26))</f>
        <v>40347.69</v>
      </c>
    </row>
    <row r="20" spans="1:35" ht="15">
      <c r="A20" s="2440"/>
      <c r="B20" s="1250" t="s">
        <v>2150</v>
      </c>
      <c r="C20" s="146">
        <f ca="1">SUMIF(INDIRECT("'"&amp;C4&amp;"'"&amp;"!A:A"),结果表!B20,INDIRECT("'"&amp;C4&amp;"'"&amp;"!B:B"))</f>
        <v>9541</v>
      </c>
      <c r="D20" s="147">
        <f ca="1">SUMIF(INDIRECT("'"&amp;D4&amp;"'"&amp;"!A:A"),结果表!B20,INDIRECT("'"&amp;D4&amp;"'"&amp;"!B:B"))</f>
        <v>11407</v>
      </c>
      <c r="E20" s="2440"/>
      <c r="F20" s="1250" t="s">
        <v>2150</v>
      </c>
      <c r="G20" s="148">
        <f ca="1">ROUND(C20*$C$18+D20*$D$18,0)</f>
        <v>10474</v>
      </c>
      <c r="H20" s="983" t="s">
        <v>2151</v>
      </c>
      <c r="I20" s="138"/>
    </row>
    <row r="21" spans="1:35" ht="15" customHeight="1" thickBot="1">
      <c r="A21" s="1003"/>
      <c r="B21" s="2441" t="s">
        <v>2152</v>
      </c>
      <c r="C21" s="789">
        <f ca="1">ROUND(C19*10000/L19,0)</f>
        <v>4835</v>
      </c>
      <c r="D21" s="790">
        <f ca="1">ROUND(D19*10000/L19,0)</f>
        <v>5781</v>
      </c>
      <c r="E21" s="1003"/>
      <c r="F21" s="2441" t="s">
        <v>2152</v>
      </c>
      <c r="G21" s="149">
        <f ca="1">ROUND(G19*10000/L19,0)</f>
        <v>5308</v>
      </c>
      <c r="H21" s="2442" t="s">
        <v>2151</v>
      </c>
      <c r="I21" s="138"/>
    </row>
    <row r="22" spans="1:35" ht="15" thickBot="1">
      <c r="A22" s="2283" t="s">
        <v>2153</v>
      </c>
      <c r="B22" s="2443"/>
      <c r="C22" s="2444"/>
      <c r="D22" s="791">
        <f ca="1">IF(C19&lt;D19,D19/C19-1,C19/D19-1)</f>
        <v>0.19548949256791381</v>
      </c>
      <c r="E22" s="138"/>
      <c r="F22" s="138"/>
      <c r="G22" s="138"/>
      <c r="H22" s="138"/>
      <c r="I22" s="138"/>
    </row>
    <row r="23" spans="1:35" ht="13.5" thickBot="1">
      <c r="A23" s="2421"/>
      <c r="B23" s="2421"/>
      <c r="C23" s="2421"/>
      <c r="D23" s="2421"/>
      <c r="E23" s="138"/>
      <c r="F23" s="138"/>
      <c r="G23" s="138"/>
      <c r="H23" s="138"/>
      <c r="I23" s="138"/>
    </row>
    <row r="24" spans="1:35" ht="14.25">
      <c r="A24" s="3226" t="s">
        <v>2154</v>
      </c>
      <c r="B24" s="2438" t="s">
        <v>2146</v>
      </c>
      <c r="C24" s="145">
        <f>IF(B30=0,0,D30)</f>
        <v>0</v>
      </c>
      <c r="D24" s="2445"/>
      <c r="E24" s="138"/>
      <c r="F24" s="138"/>
      <c r="G24" s="138"/>
      <c r="H24" s="138"/>
      <c r="I24" s="138"/>
    </row>
    <row r="25" spans="1:35" ht="14.25">
      <c r="A25" s="3227"/>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21417</v>
      </c>
      <c r="D32" s="2452" t="s">
        <v>2161</v>
      </c>
      <c r="E32" s="138"/>
      <c r="F32" s="138"/>
      <c r="G32" s="138"/>
      <c r="H32" s="138"/>
      <c r="I32" s="138"/>
    </row>
    <row r="33" spans="1:15" ht="15">
      <c r="A33" s="960" t="s">
        <v>2162</v>
      </c>
      <c r="B33" s="2453"/>
      <c r="C33" s="2454" t="s">
        <v>3366</v>
      </c>
      <c r="D33" s="2455" t="s">
        <v>3360</v>
      </c>
      <c r="E33" s="2456" t="s">
        <v>2163</v>
      </c>
      <c r="F33" s="2457" t="str">
        <f>IF(D32="楼面单价","取值（单价）","取值（总价）")</f>
        <v>取值（总价）</v>
      </c>
      <c r="G33" s="138"/>
      <c r="H33" s="138"/>
      <c r="I33" s="138"/>
    </row>
    <row r="34" spans="1:15" ht="15">
      <c r="A34" s="2458"/>
      <c r="B34" s="2459" t="s">
        <v>2164</v>
      </c>
      <c r="C34" s="157">
        <f ca="1">IF(C33="自定义",F34,C32-C35)</f>
        <v>12165</v>
      </c>
      <c r="D34" s="1058">
        <f ca="1">IF(C33="自定义",ROUND(C34/C32,3),IF(C33="收益比率",SUMIF(INDIRECT("'"&amp;D33&amp;"'"&amp;"!b:b"),"土地收益比率",INDIRECT("'"&amp;D33&amp;"'"&amp;"!c:c")),SUMIF(INDIRECT("'"&amp;D33&amp;"'"&amp;"!b:b"),"土地成本比率",INDIRECT("'"&amp;D33&amp;"'"&amp;"!c:c"))))</f>
        <v>0.56800000000000006</v>
      </c>
      <c r="E34" s="2460" t="s">
        <v>2165</v>
      </c>
      <c r="F34" s="1739"/>
      <c r="G34" s="138"/>
      <c r="H34" s="138"/>
      <c r="I34" s="138"/>
    </row>
    <row r="35" spans="1:15" ht="15.75" thickBot="1">
      <c r="A35" s="2461"/>
      <c r="B35" s="2462" t="s">
        <v>2166</v>
      </c>
      <c r="C35" s="1444">
        <f ca="1">IF(C33="自定义",F35,ROUND(C32*D35,0))</f>
        <v>9252</v>
      </c>
      <c r="D35" s="1445">
        <f ca="1">IF(C33="自定义",ROUND(C35/C32,3),IF(C33="收益比率",SUMIF(INDIRECT("'"&amp;D33&amp;"'"&amp;"!b:b"),"建筑物收益比率",INDIRECT("'"&amp;D33&amp;"'"&amp;"!c:c")),SUMIF(INDIRECT("'"&amp;D33&amp;"'"&amp;"!b:b"),"建筑物成本比率",INDIRECT("'"&amp;D33&amp;"'"&amp;"!c:c"))))</f>
        <v>0.432</v>
      </c>
      <c r="E35" s="2463" t="s">
        <v>2167</v>
      </c>
      <c r="F35" s="163"/>
      <c r="G35" s="138"/>
      <c r="H35" s="138"/>
      <c r="I35" s="138"/>
    </row>
    <row r="36" spans="1:15" ht="15.75" thickBot="1">
      <c r="A36" s="3206" t="s">
        <v>2168</v>
      </c>
      <c r="B36" s="2464" t="s">
        <v>2169</v>
      </c>
      <c r="C36" s="154"/>
      <c r="D36" s="2465"/>
      <c r="E36" s="2466"/>
      <c r="F36" s="2467"/>
      <c r="G36" s="138"/>
      <c r="H36" s="138"/>
      <c r="I36" s="138"/>
    </row>
    <row r="37" spans="1:15" ht="15.75" thickBot="1">
      <c r="A37" s="3207"/>
      <c r="B37" s="2269" t="s">
        <v>2170</v>
      </c>
      <c r="C37" s="156"/>
      <c r="D37" s="1395"/>
      <c r="E37" s="1395"/>
      <c r="F37" s="2467"/>
      <c r="G37" s="138"/>
      <c r="H37" s="138"/>
      <c r="I37" s="138"/>
    </row>
    <row r="38" spans="1:15" ht="15.75" thickBot="1">
      <c r="A38" s="3208"/>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223" t="s">
        <v>2182</v>
      </c>
      <c r="B45" s="3224"/>
      <c r="C45" s="3225"/>
      <c r="D45" s="164">
        <f ca="1">ROUND(H101*F45,0)</f>
        <v>21417</v>
      </c>
      <c r="E45" s="165" t="s">
        <v>2183</v>
      </c>
      <c r="F45" s="166">
        <v>1</v>
      </c>
      <c r="G45" s="167" t="s">
        <v>2184</v>
      </c>
      <c r="H45" s="138"/>
      <c r="I45" s="138"/>
      <c r="J45" s="3142" t="s">
        <v>2185</v>
      </c>
      <c r="K45" s="3142"/>
      <c r="L45" s="3142"/>
      <c r="M45" s="3142"/>
      <c r="N45" s="3142"/>
      <c r="O45" s="3142"/>
    </row>
    <row r="46" spans="1:15" ht="14.25" customHeight="1">
      <c r="A46" s="3220" t="s">
        <v>2186</v>
      </c>
      <c r="B46" s="3221"/>
      <c r="C46" s="3221"/>
      <c r="D46" s="3221"/>
      <c r="E46" s="3221"/>
      <c r="F46" s="3221"/>
      <c r="G46" s="3222"/>
      <c r="H46" s="2483"/>
      <c r="I46" s="168"/>
      <c r="J46" s="1812">
        <v>1</v>
      </c>
      <c r="K46" s="3142" t="s">
        <v>2187</v>
      </c>
      <c r="L46" s="3142"/>
      <c r="M46" s="3143"/>
      <c r="N46" s="3143"/>
      <c r="O46" s="3143"/>
    </row>
    <row r="47" spans="1:15" ht="12" customHeight="1">
      <c r="A47" s="169" t="s">
        <v>2188</v>
      </c>
      <c r="B47" s="170"/>
      <c r="C47" s="171"/>
      <c r="D47" s="172" t="s">
        <v>2189</v>
      </c>
      <c r="E47" s="24" t="s">
        <v>2190</v>
      </c>
      <c r="F47" s="173" t="s">
        <v>2191</v>
      </c>
      <c r="G47" s="174" t="s">
        <v>2192</v>
      </c>
      <c r="H47" s="2483"/>
      <c r="I47" s="168"/>
      <c r="J47" s="1812">
        <v>2</v>
      </c>
      <c r="K47" s="3142" t="s">
        <v>2193</v>
      </c>
      <c r="L47" s="3142"/>
      <c r="M47" s="3144">
        <f>'数据-取费表'!B2</f>
        <v>43598</v>
      </c>
      <c r="N47" s="3144"/>
      <c r="O47" s="3144"/>
    </row>
    <row r="48" spans="1:15" ht="25.5">
      <c r="A48" s="3210" t="s">
        <v>2194</v>
      </c>
      <c r="B48" s="3211"/>
      <c r="C48" s="3211"/>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142" t="s">
        <v>2197</v>
      </c>
      <c r="L48" s="3142"/>
      <c r="M48" s="3145">
        <f ca="1">H101</f>
        <v>21417</v>
      </c>
      <c r="N48" s="3145"/>
      <c r="O48" s="3145"/>
    </row>
    <row r="49" spans="1:35" ht="25.5" customHeight="1">
      <c r="A49" s="176" t="s">
        <v>2198</v>
      </c>
      <c r="B49" s="3190" t="s">
        <v>2199</v>
      </c>
      <c r="C49" s="3190"/>
      <c r="D49" s="177">
        <v>0</v>
      </c>
      <c r="E49" s="23" t="s">
        <v>2200</v>
      </c>
      <c r="F49" s="28" t="s">
        <v>34</v>
      </c>
      <c r="G49" s="3171"/>
      <c r="H49" s="138"/>
      <c r="I49" s="2486"/>
      <c r="J49" s="1812">
        <v>4</v>
      </c>
      <c r="K49" s="3142" t="str">
        <f>IF(项目基本情况!E8="房地产抵押价值","房地产抵押价值","抵押担保权已注销时的房地产抵押价值")</f>
        <v>房地产抵押价值</v>
      </c>
      <c r="L49" s="3142"/>
      <c r="M49" s="3145">
        <f ca="1">IF(项目基本情况!E8="房地产抵押价值",H107,H109)</f>
        <v>21417</v>
      </c>
      <c r="N49" s="3145"/>
      <c r="O49" s="3145"/>
    </row>
    <row r="50" spans="1:35" ht="25.5" customHeight="1">
      <c r="A50" s="178"/>
      <c r="B50" s="3190" t="s">
        <v>2201</v>
      </c>
      <c r="C50" s="3190"/>
      <c r="D50" s="179"/>
      <c r="E50" s="31"/>
      <c r="F50" s="180"/>
      <c r="G50" s="3172"/>
      <c r="H50" s="138"/>
      <c r="I50" s="2486"/>
      <c r="J50" s="3142" t="s">
        <v>2202</v>
      </c>
      <c r="K50" s="3142"/>
      <c r="L50" s="3142"/>
      <c r="M50" s="3142"/>
      <c r="N50" s="3142"/>
      <c r="O50" s="3142"/>
    </row>
    <row r="51" spans="1:35" ht="12" customHeight="1">
      <c r="A51" s="181"/>
      <c r="B51" s="3190" t="s">
        <v>2203</v>
      </c>
      <c r="C51" s="3190"/>
      <c r="D51" s="182"/>
      <c r="E51" s="30"/>
      <c r="F51" s="180"/>
      <c r="G51" s="3173"/>
      <c r="H51" s="138"/>
      <c r="I51" s="2486"/>
      <c r="J51" s="2487" t="s">
        <v>2204</v>
      </c>
      <c r="K51" s="3142" t="s">
        <v>2205</v>
      </c>
      <c r="L51" s="3142"/>
      <c r="M51" s="2487" t="s">
        <v>2206</v>
      </c>
      <c r="N51" s="2487" t="s">
        <v>2207</v>
      </c>
      <c r="O51" s="2487" t="s">
        <v>2208</v>
      </c>
    </row>
    <row r="52" spans="1:35" ht="24" customHeight="1">
      <c r="A52" s="183" t="s">
        <v>2209</v>
      </c>
      <c r="B52" s="3190" t="s">
        <v>2210</v>
      </c>
      <c r="C52" s="3190"/>
      <c r="D52" s="182">
        <f ca="1">ROUND(D45*'数据-取费表'!B41/(1+'数据-取费表'!C42),0)</f>
        <v>1142</v>
      </c>
      <c r="E52" s="11" t="s">
        <v>2211</v>
      </c>
      <c r="F52" s="184">
        <f>'数据-取费表'!B41</f>
        <v>5.6000000000000001E-2</v>
      </c>
      <c r="G52" s="2488"/>
      <c r="H52" s="138"/>
      <c r="I52" s="2486"/>
      <c r="J52" s="1812">
        <v>1</v>
      </c>
      <c r="K52" s="3165" t="s">
        <v>2212</v>
      </c>
      <c r="L52" s="3165"/>
      <c r="M52" s="1754">
        <f>D48</f>
        <v>0</v>
      </c>
      <c r="N52" s="1812" t="str">
        <f>E48</f>
        <v>销售额×税（费）率</v>
      </c>
      <c r="O52" s="1755" t="str">
        <f>F48</f>
        <v>免征</v>
      </c>
    </row>
    <row r="53" spans="1:35" ht="12" customHeight="1">
      <c r="A53" s="183" t="s">
        <v>2213</v>
      </c>
      <c r="B53" s="3191" t="s">
        <v>2214</v>
      </c>
      <c r="C53" s="3192"/>
      <c r="D53" s="182">
        <f ca="1">ROUND(D45*'数据-取费表'!B41/(1+'数据-取费表'!C42),0)</f>
        <v>1142</v>
      </c>
      <c r="E53" s="11" t="s">
        <v>2211</v>
      </c>
      <c r="F53" s="184">
        <f>'数据-取费表'!B41</f>
        <v>5.6000000000000001E-2</v>
      </c>
      <c r="G53" s="2488"/>
      <c r="H53" s="138"/>
      <c r="I53" s="2486"/>
      <c r="J53" s="1812">
        <v>2</v>
      </c>
      <c r="K53" s="3165" t="s">
        <v>2215</v>
      </c>
      <c r="L53" s="3165"/>
      <c r="M53" s="1754">
        <f t="shared" ref="M53:O54" ca="1" si="0">D55</f>
        <v>11</v>
      </c>
      <c r="N53" s="1812" t="str">
        <f t="shared" si="0"/>
        <v>销售额×税（费）率</v>
      </c>
      <c r="O53" s="1755">
        <f t="shared" si="0"/>
        <v>5.0000000000000001E-4</v>
      </c>
    </row>
    <row r="54" spans="1:35" ht="12" customHeight="1">
      <c r="A54" s="183" t="s">
        <v>2216</v>
      </c>
      <c r="B54" s="3191" t="s">
        <v>2217</v>
      </c>
      <c r="C54" s="3192"/>
      <c r="D54" s="182">
        <f ca="1">C68</f>
        <v>1142</v>
      </c>
      <c r="E54" s="30" t="s">
        <v>2218</v>
      </c>
      <c r="F54" s="184">
        <f>'数据-取费表'!B41</f>
        <v>5.6000000000000001E-2</v>
      </c>
      <c r="G54" s="2488"/>
      <c r="H54" s="2489"/>
      <c r="I54" s="2486"/>
      <c r="J54" s="1812">
        <v>3</v>
      </c>
      <c r="K54" s="3165" t="s">
        <v>2219</v>
      </c>
      <c r="L54" s="3165"/>
      <c r="M54" s="1754">
        <f t="shared" ca="1" si="0"/>
        <v>12122</v>
      </c>
      <c r="N54" s="1812" t="str">
        <f t="shared" si="0"/>
        <v>增值额×税（费）率</v>
      </c>
      <c r="O54" s="1756" t="str">
        <f t="shared" si="0"/>
        <v>——</v>
      </c>
    </row>
    <row r="55" spans="1:35" ht="24" customHeight="1">
      <c r="A55" s="3229" t="s">
        <v>2220</v>
      </c>
      <c r="B55" s="3211"/>
      <c r="C55" s="3211"/>
      <c r="D55" s="185">
        <f ca="1">IF(H55="个人住宅",0,ROUND(D45*I55,0))</f>
        <v>11</v>
      </c>
      <c r="E55" s="11" t="s">
        <v>2221</v>
      </c>
      <c r="F55" s="184">
        <f>IF(H55="正常",I55,"免征")</f>
        <v>5.0000000000000001E-4</v>
      </c>
      <c r="G55" s="2488"/>
      <c r="H55" s="2485" t="s">
        <v>2222</v>
      </c>
      <c r="I55" s="186">
        <f>'数据-取费表'!B49</f>
        <v>5.0000000000000001E-4</v>
      </c>
      <c r="J55" s="1812" t="str">
        <f>IF(H59="非个人房产","",4)</f>
        <v/>
      </c>
      <c r="K55" s="3165" t="str">
        <f>IF(H59="非个人房产","——","个人所得税")</f>
        <v>——</v>
      </c>
      <c r="L55" s="3165"/>
      <c r="M55" s="1757" t="str">
        <f>D59</f>
        <v>——</v>
      </c>
      <c r="N55" s="1810" t="str">
        <f>E59</f>
        <v>——</v>
      </c>
      <c r="O55" s="1758" t="str">
        <f>F59</f>
        <v>——</v>
      </c>
    </row>
    <row r="56" spans="1:35" ht="24.75">
      <c r="A56" s="3229" t="s">
        <v>2223</v>
      </c>
      <c r="B56" s="3211"/>
      <c r="C56" s="3211"/>
      <c r="D56" s="185">
        <f ca="1">IF(H56="个人住宅",D57,D58)</f>
        <v>12122</v>
      </c>
      <c r="E56" s="11" t="s">
        <v>2224</v>
      </c>
      <c r="F56" s="184" t="str">
        <f>IF(H56="正常",F58,"免征")</f>
        <v>——</v>
      </c>
      <c r="G56" s="2490" t="s">
        <v>2225</v>
      </c>
      <c r="H56" s="2491" t="s">
        <v>2222</v>
      </c>
      <c r="I56" s="2492"/>
      <c r="J56" s="1812" t="str">
        <f>IF(项目基本情况!K6="上海银行",IF(J55="",4,J55+1),"")</f>
        <v/>
      </c>
      <c r="K56" s="3148" t="str">
        <f>IF(项目基本情况!K6="上海银行","其他处置费用","")</f>
        <v/>
      </c>
      <c r="L56" s="3149"/>
      <c r="M56" s="1754" t="str">
        <f>IF(项目基本情况!K6="上海银行",M69,"")</f>
        <v/>
      </c>
      <c r="N56" s="3151" t="str">
        <f>IF(项目基本情况!K6="上海银行","包含处置中涉及的律师、诉讼、拍卖、评估等费用","")</f>
        <v/>
      </c>
      <c r="O56" s="3152"/>
    </row>
    <row r="57" spans="1:35" ht="12.75">
      <c r="A57" s="183" t="s">
        <v>2198</v>
      </c>
      <c r="B57" s="3196" t="s">
        <v>2226</v>
      </c>
      <c r="C57" s="3197"/>
      <c r="D57" s="187">
        <v>0</v>
      </c>
      <c r="E57" s="23" t="s">
        <v>2200</v>
      </c>
      <c r="F57" s="155"/>
      <c r="G57" s="2488"/>
      <c r="H57" s="2492"/>
      <c r="I57" s="2492"/>
      <c r="J57" s="3165">
        <f>IF(AND(J55="",J56=""),4,IF(项目基本情况!K6="上海银行",结果表!J56+1,结果表!J55+1))</f>
        <v>4</v>
      </c>
      <c r="K57" s="3165" t="s">
        <v>2227</v>
      </c>
      <c r="L57" s="2493" t="s">
        <v>2228</v>
      </c>
      <c r="M57" s="1759"/>
      <c r="N57" s="1760">
        <f ca="1">SUMIF(M52:M56,"&lt;9e307")</f>
        <v>12133</v>
      </c>
      <c r="O57" s="2494"/>
      <c r="P57" s="1753">
        <f ca="1">N57/M49</f>
        <v>0.56651258346173605</v>
      </c>
    </row>
    <row r="58" spans="1:35" ht="24.75">
      <c r="A58" s="183" t="s">
        <v>2209</v>
      </c>
      <c r="B58" s="3196" t="s">
        <v>2229</v>
      </c>
      <c r="C58" s="3209"/>
      <c r="D58" s="185">
        <f ca="1">IF(H58="转让取得",C81,C97)</f>
        <v>12122</v>
      </c>
      <c r="E58" s="11" t="s">
        <v>2224</v>
      </c>
      <c r="F58" s="24" t="s">
        <v>34</v>
      </c>
      <c r="G58" s="2488"/>
      <c r="H58" s="2491" t="s">
        <v>2230</v>
      </c>
      <c r="I58" s="2492"/>
      <c r="J58" s="3165"/>
      <c r="K58" s="3165"/>
      <c r="L58" s="2493" t="s">
        <v>2231</v>
      </c>
      <c r="M58" s="1761"/>
      <c r="N58" s="2495" t="str">
        <f ca="1">NUMBERSTRING(INT(N57*10000),2)&amp;"元整"</f>
        <v>壹亿贰仟壹佰叁拾叁万元整</v>
      </c>
      <c r="O58" s="2496"/>
    </row>
    <row r="59" spans="1:35" ht="24.75" thickBot="1">
      <c r="A59" s="3169" t="s">
        <v>2232</v>
      </c>
      <c r="B59" s="3170"/>
      <c r="C59" s="3170"/>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167">
        <f>J57+1</f>
        <v>5</v>
      </c>
      <c r="K59" s="3165" t="s">
        <v>2234</v>
      </c>
      <c r="L59" s="1812" t="s">
        <v>2228</v>
      </c>
      <c r="M59" s="1762"/>
      <c r="N59" s="1763">
        <f ca="1">M49-N57</f>
        <v>9284</v>
      </c>
      <c r="O59" s="2498"/>
    </row>
    <row r="60" spans="1:35" ht="12" customHeight="1">
      <c r="A60" s="2499"/>
      <c r="B60" s="2421"/>
      <c r="C60" s="2421"/>
      <c r="D60" s="2421"/>
      <c r="E60" s="2170"/>
      <c r="F60" s="2492"/>
      <c r="G60" s="2492"/>
      <c r="H60" s="2500"/>
      <c r="I60" s="138"/>
      <c r="J60" s="3168"/>
      <c r="K60" s="3165"/>
      <c r="L60" s="2493" t="s">
        <v>2231</v>
      </c>
      <c r="M60" s="1761"/>
      <c r="N60" s="2495" t="str">
        <f ca="1">NUMBERSTRING(INT(N59*10000),2)&amp;"元整"</f>
        <v>玖仟贰佰捌拾肆万元整</v>
      </c>
      <c r="O60" s="2496"/>
    </row>
    <row r="61" spans="1:35" ht="13.5" thickBot="1">
      <c r="A61" s="3228" t="s">
        <v>2235</v>
      </c>
      <c r="B61" s="3228"/>
      <c r="C61" s="3228"/>
      <c r="D61" s="3228"/>
      <c r="E61" s="3228"/>
      <c r="F61" s="2492"/>
      <c r="G61" s="2492"/>
      <c r="H61" s="2500"/>
      <c r="I61" s="138"/>
      <c r="J61" s="1812">
        <f>J59+1</f>
        <v>6</v>
      </c>
      <c r="K61" s="3165" t="s">
        <v>2236</v>
      </c>
      <c r="L61" s="3165"/>
      <c r="M61" s="1764"/>
      <c r="N61" s="1765">
        <f ca="1">ROUND(N59*10000/'数据-汇总表'!E3,0)</f>
        <v>4540</v>
      </c>
      <c r="O61" s="2501"/>
    </row>
    <row r="62" spans="1:35" ht="12.75">
      <c r="A62" s="3185" t="s">
        <v>2237</v>
      </c>
      <c r="B62" s="3186"/>
      <c r="C62" s="1804"/>
      <c r="D62" s="1804" t="s">
        <v>2238</v>
      </c>
      <c r="E62" s="192" t="s">
        <v>2239</v>
      </c>
      <c r="F62" s="2492"/>
      <c r="G62" s="2492"/>
      <c r="H62" s="2500"/>
      <c r="I62" s="138"/>
    </row>
    <row r="63" spans="1:35" ht="12.75">
      <c r="A63" s="203" t="s">
        <v>775</v>
      </c>
      <c r="B63" s="193" t="s">
        <v>2240</v>
      </c>
      <c r="C63" s="194">
        <f ca="1">ROUND((C64+C65)/(1+'数据-取费表'!C42),0)</f>
        <v>20397</v>
      </c>
      <c r="D63" s="195"/>
      <c r="E63" s="196"/>
      <c r="F63" s="2492"/>
      <c r="G63" s="2492"/>
      <c r="H63" s="2500"/>
      <c r="I63" s="138"/>
      <c r="J63" s="3150" t="s">
        <v>2241</v>
      </c>
      <c r="K63" s="2502" t="s">
        <v>2242</v>
      </c>
      <c r="L63" s="1752">
        <f ca="1">IF(M49&gt;10000,M49*0.5%,IF(AND(M49&gt;1000,M49&lt;=10000),M49*1%,IF(AND(M49&gt;100,M49&lt;=1000),M49*3%,IF(AND(M49&gt;10,M49&lt;=100),M49*5%,M49*8%))))</f>
        <v>107.08500000000001</v>
      </c>
      <c r="M63" s="24">
        <f ca="1">ROUND(L63,1)</f>
        <v>107.1</v>
      </c>
      <c r="Z63" s="2426"/>
      <c r="AI63" s="2427"/>
    </row>
    <row r="64" spans="1:35" ht="14.25" customHeight="1">
      <c r="A64" s="197" t="s">
        <v>770</v>
      </c>
      <c r="B64" s="198" t="s">
        <v>2243</v>
      </c>
      <c r="C64" s="199">
        <f ca="1">D45</f>
        <v>21417</v>
      </c>
      <c r="D64" s="200" t="s">
        <v>32</v>
      </c>
      <c r="E64" s="201"/>
      <c r="F64" s="2492"/>
      <c r="G64" s="2492"/>
      <c r="H64" s="2500"/>
      <c r="I64" s="138"/>
      <c r="J64" s="3150"/>
      <c r="K64" s="2502" t="s">
        <v>2244</v>
      </c>
      <c r="L64" s="1752">
        <f ca="1">IF(M49&gt;2000,M49*0.5%,IF(AND(M49&gt;1000,M49&lt;=2000),M49*0.6%,IF(AND(M49&gt;500,M49&lt;=1000),M49*0.7%,IF(AND(M49&gt;200,M49&lt;=500),M49*0.8%,IF(AND(M49&gt;100,M49&lt;=200),M49*0.9%,IF(AND(M49&gt;50,M49&lt;=100),M49*1%,IF(AND(M49&gt;20,M49&lt;=50),M49*1.5%,IF(AND(M49&gt;10,M49&lt;=20),M49*2%,IF(AND(M49&gt;1,M49&lt;=10),M49*2.5%)))))))))</f>
        <v>107.08500000000001</v>
      </c>
      <c r="M64" s="24">
        <f t="shared" ref="M64:M65" ca="1" si="1">ROUND(L64,1)</f>
        <v>107.1</v>
      </c>
      <c r="N64" s="138" t="s">
        <v>2245</v>
      </c>
      <c r="Z64" s="2426"/>
      <c r="AI64" s="2427"/>
    </row>
    <row r="65" spans="1:35" ht="14.25" customHeight="1">
      <c r="A65" s="197" t="s">
        <v>771</v>
      </c>
      <c r="B65" s="198" t="s">
        <v>2246</v>
      </c>
      <c r="C65" s="202"/>
      <c r="D65" s="200"/>
      <c r="E65" s="201"/>
      <c r="F65" s="2492"/>
      <c r="G65" s="2492"/>
      <c r="H65" s="2500"/>
      <c r="I65" s="138"/>
      <c r="J65" s="3150"/>
      <c r="K65" s="2502" t="s">
        <v>2247</v>
      </c>
      <c r="L65" s="1752">
        <f ca="1">IF(M49&gt;1000,M49*0.1%,IF(AND(M49&gt;500,M49&lt;=1000),M49*0.5%,IF(AND(M49&gt;50,M49&lt;=500),M49*1%,IF(AND(M49&gt;1,M49&lt;=50),M49*1.5%))))</f>
        <v>21.417000000000002</v>
      </c>
      <c r="M65" s="24">
        <f t="shared" ca="1" si="1"/>
        <v>21.4</v>
      </c>
      <c r="N65" s="138" t="s">
        <v>2245</v>
      </c>
      <c r="Z65" s="2426"/>
      <c r="AI65" s="2427"/>
    </row>
    <row r="66" spans="1:35" ht="14.25" customHeight="1">
      <c r="A66" s="203" t="s">
        <v>772</v>
      </c>
      <c r="B66" s="204" t="s">
        <v>2248</v>
      </c>
      <c r="C66" s="205"/>
      <c r="D66" s="206" t="s">
        <v>32</v>
      </c>
      <c r="E66" s="1776" t="s">
        <v>1367</v>
      </c>
      <c r="F66" s="2492"/>
      <c r="G66" s="2492"/>
      <c r="H66" s="2500"/>
      <c r="I66" s="138"/>
      <c r="J66" s="3150"/>
      <c r="K66" s="2502" t="s">
        <v>2249</v>
      </c>
      <c r="L66" s="1752">
        <f ca="1">M49*0.5%</f>
        <v>107.08500000000001</v>
      </c>
      <c r="M66" s="24">
        <f ca="1">IF(L66&gt;0.5,0.5,ROUND(L66,0))</f>
        <v>0.5</v>
      </c>
      <c r="N66" s="138" t="s">
        <v>2250</v>
      </c>
      <c r="Z66" s="2426"/>
      <c r="AI66" s="2427"/>
    </row>
    <row r="67" spans="1:35" ht="14.25" customHeight="1">
      <c r="A67" s="203" t="s">
        <v>773</v>
      </c>
      <c r="B67" s="204" t="s">
        <v>2251</v>
      </c>
      <c r="C67" s="207">
        <f ca="1">C63-C66</f>
        <v>20397</v>
      </c>
      <c r="D67" s="200" t="s">
        <v>32</v>
      </c>
      <c r="E67" s="201"/>
      <c r="F67" s="2492"/>
      <c r="G67" s="2492"/>
      <c r="H67" s="2500"/>
      <c r="I67" s="138"/>
      <c r="J67" s="3150"/>
      <c r="K67" s="2502" t="s">
        <v>2252</v>
      </c>
      <c r="L67" s="1752">
        <f ca="1">IF(M49&gt;=10000,(8.25+(M49-10000)*0.01%),IF(AND(M49&gt;=8000,M49&lt;10000),(7.85+(M49-8000)*0.02%),IF(AND(M49&gt;=5000,M49&lt;8000),(6.65+(M49-5000)*0.04%),IF(AND(M49&gt;=2000,M49&lt;5000),(4.25+(PM49-2000)*0.08%),IF(AND(M49&gt;=1000,M49&lt;2000),(2.75+(M49-1000)*0.15%),IF(AND(M49&gt;=100,M49&lt;1000),(0.5+(M49-100)*0.25%),IF(AND(M49&gt;0,M49&lt;100),M49*0.5%)))))))</f>
        <v>9.3917000000000002</v>
      </c>
      <c r="M67" s="24">
        <f ca="1">ROUND(L67*0.9,1)</f>
        <v>8.5</v>
      </c>
      <c r="Z67" s="2426"/>
      <c r="AI67" s="2427"/>
    </row>
    <row r="68" spans="1:35" ht="14.25" customHeight="1" thickBot="1">
      <c r="A68" s="208" t="s">
        <v>774</v>
      </c>
      <c r="B68" s="209" t="s">
        <v>2253</v>
      </c>
      <c r="C68" s="210">
        <f ca="1">IF(C67&lt;=0,0,ROUND(C67*D68,0))</f>
        <v>1142</v>
      </c>
      <c r="D68" s="211">
        <f>'数据-取费表'!B41</f>
        <v>5.6000000000000001E-2</v>
      </c>
      <c r="E68" s="212"/>
      <c r="F68" s="2492"/>
      <c r="G68" s="2492"/>
      <c r="H68" s="2500"/>
      <c r="I68" s="138"/>
      <c r="J68" s="3150"/>
      <c r="K68" s="2502" t="s">
        <v>2254</v>
      </c>
      <c r="L68" s="1752">
        <f ca="1">IF(M49&gt;10000,M49*0.5%,IF(AND(M49&gt;5000,M49&lt;=10000),M49*1%,IF(AND(M49&gt;1000,M49&lt;=5000),M49*2%,IF(AND(M49&gt;200,M49&lt;=1000),M49*3%,M49*5%))))</f>
        <v>107.08500000000001</v>
      </c>
      <c r="M68" s="24">
        <f ca="1">ROUND(L68,1)</f>
        <v>107.1</v>
      </c>
      <c r="Z68" s="2426"/>
      <c r="AI68" s="2427"/>
    </row>
    <row r="69" spans="1:35" s="2449" customFormat="1" ht="16.5" customHeight="1">
      <c r="A69" s="2503"/>
      <c r="B69" s="2504"/>
      <c r="C69" s="2505"/>
      <c r="D69" s="2506"/>
      <c r="E69" s="2507"/>
      <c r="F69" s="2170"/>
      <c r="G69" s="2170"/>
      <c r="H69" s="2169"/>
      <c r="I69" s="2421"/>
      <c r="J69" s="3150"/>
      <c r="K69" s="2502" t="s">
        <v>2255</v>
      </c>
      <c r="L69" s="2508"/>
      <c r="M69" s="24">
        <f ca="1">ROUND(SUM(M63:M68),0)</f>
        <v>352</v>
      </c>
      <c r="N69" s="1753">
        <f ca="1">M69/M49</f>
        <v>1.6435541859270673E-2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94" t="s">
        <v>2256</v>
      </c>
      <c r="B70" s="3195"/>
      <c r="C70" s="3195"/>
      <c r="D70" s="3195"/>
      <c r="E70" s="3195"/>
      <c r="F70" s="3195"/>
      <c r="G70" s="3195"/>
      <c r="H70" s="319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85" t="s">
        <v>2237</v>
      </c>
      <c r="B71" s="3186"/>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20397</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122</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91" t="s">
        <v>2265</v>
      </c>
      <c r="F76" s="3190"/>
      <c r="G76" s="3190"/>
      <c r="H76" s="319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122</v>
      </c>
      <c r="D78" s="226">
        <f>'数据-取费表'!B43</f>
        <v>6.000000000000001E-3</v>
      </c>
      <c r="E78" s="3182" t="s">
        <v>2270</v>
      </c>
      <c r="F78" s="3183"/>
      <c r="G78" s="3183"/>
      <c r="H78" s="318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20275</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166.18852459016392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12122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94" t="s">
        <v>2274</v>
      </c>
      <c r="B83" s="3195"/>
      <c r="C83" s="3195"/>
      <c r="D83" s="3195"/>
      <c r="E83" s="3195"/>
      <c r="F83" s="3195"/>
      <c r="G83" s="3195"/>
      <c r="H83" s="319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85" t="s">
        <v>2237</v>
      </c>
      <c r="B84" s="3186"/>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20397</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122</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82" t="s">
        <v>2283</v>
      </c>
      <c r="F91" s="3183"/>
      <c r="G91" s="3183"/>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82" t="s">
        <v>2287</v>
      </c>
      <c r="F92" s="3183"/>
      <c r="G92" s="3183"/>
      <c r="H92" s="318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122</v>
      </c>
      <c r="D93" s="226">
        <f>'数据-取费表'!B43</f>
        <v>6.000000000000001E-3</v>
      </c>
      <c r="E93" s="3182" t="s">
        <v>2270</v>
      </c>
      <c r="F93" s="3183"/>
      <c r="G93" s="3183"/>
      <c r="H93" s="318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230" t="s">
        <v>2291</v>
      </c>
      <c r="F94" s="3231"/>
      <c r="G94" s="3231"/>
      <c r="H94" s="323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20275</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166.18852459016392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12122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2292</v>
      </c>
      <c r="B99" s="2421"/>
      <c r="C99" s="2421"/>
      <c r="D99" s="2421"/>
      <c r="E99" s="2170"/>
      <c r="F99" s="2170"/>
      <c r="G99" s="2170"/>
      <c r="H99" s="2169"/>
      <c r="I99" s="138"/>
    </row>
    <row r="100" spans="1:35" ht="18.75" customHeight="1">
      <c r="A100" s="3134" t="s">
        <v>2293</v>
      </c>
      <c r="B100" s="3135"/>
      <c r="C100" s="3135"/>
      <c r="D100" s="3166"/>
      <c r="E100" s="3135" t="s">
        <v>2294</v>
      </c>
      <c r="F100" s="3135"/>
      <c r="G100" s="3135"/>
      <c r="H100" s="3166"/>
      <c r="I100" s="138"/>
    </row>
    <row r="101" spans="1:35" ht="18.75" customHeight="1">
      <c r="A101" s="3174" t="s">
        <v>2295</v>
      </c>
      <c r="B101" s="3175"/>
      <c r="C101" s="736" t="str">
        <f>C4</f>
        <v>成本法</v>
      </c>
      <c r="D101" s="737" t="str">
        <f>D4</f>
        <v>收益法</v>
      </c>
      <c r="E101" s="3146" t="s">
        <v>2296</v>
      </c>
      <c r="F101" s="3147"/>
      <c r="G101" s="2523" t="s">
        <v>2297</v>
      </c>
      <c r="H101" s="1048">
        <f ca="1">H118</f>
        <v>21417</v>
      </c>
      <c r="I101" s="138"/>
    </row>
    <row r="102" spans="1:35" ht="18.75" customHeight="1">
      <c r="A102" s="3176" t="s">
        <v>2298</v>
      </c>
      <c r="B102" s="2523" t="s">
        <v>2297</v>
      </c>
      <c r="C102" s="736">
        <f ca="1">C19</f>
        <v>19510</v>
      </c>
      <c r="D102" s="737">
        <f ca="1">D19</f>
        <v>23324</v>
      </c>
      <c r="E102" s="3146"/>
      <c r="F102" s="3147"/>
      <c r="G102" s="2523" t="s">
        <v>2299</v>
      </c>
      <c r="H102" s="371">
        <f ca="1">I118</f>
        <v>10474</v>
      </c>
      <c r="I102" s="138"/>
    </row>
    <row r="103" spans="1:35" ht="42.75" customHeight="1">
      <c r="A103" s="3176"/>
      <c r="B103" s="2523" t="s">
        <v>2299</v>
      </c>
      <c r="C103" s="738">
        <f ca="1">C20</f>
        <v>9541</v>
      </c>
      <c r="D103" s="739">
        <f ca="1">D20</f>
        <v>11407</v>
      </c>
      <c r="E103" s="3140" t="s">
        <v>2300</v>
      </c>
      <c r="F103" s="3141"/>
      <c r="G103" s="2524" t="s">
        <v>2301</v>
      </c>
      <c r="H103" s="1048">
        <f>IF(D36="正常操作",H104+H105+H106,H105+H106)</f>
        <v>0</v>
      </c>
      <c r="I103" s="138"/>
    </row>
    <row r="104" spans="1:35" ht="18.75" customHeight="1">
      <c r="A104" s="3176" t="s">
        <v>2302</v>
      </c>
      <c r="B104" s="2525" t="s">
        <v>2297</v>
      </c>
      <c r="C104" s="740">
        <f ca="1">H118</f>
        <v>21417</v>
      </c>
      <c r="D104" s="741"/>
      <c r="E104" s="2269" t="s">
        <v>2303</v>
      </c>
      <c r="F104" s="2260"/>
      <c r="G104" s="2524" t="s">
        <v>2301</v>
      </c>
      <c r="H104" s="1049">
        <f>IF(D36="同一抵押权人同一抵押物续贷",C36&amp;"（未扣减，详见特别提示）",C36)</f>
        <v>0</v>
      </c>
      <c r="I104" s="138"/>
    </row>
    <row r="105" spans="1:35" ht="18.75" customHeight="1" thickBot="1">
      <c r="A105" s="3188"/>
      <c r="B105" s="2526" t="s">
        <v>2299</v>
      </c>
      <c r="C105" s="742">
        <f ca="1">I118</f>
        <v>10474</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77" t="str">
        <f>IF(项目基本情况!E8="已注销","——","3.房地产抵押价值")</f>
        <v>3.房地产抵押价值</v>
      </c>
      <c r="F107" s="3147"/>
      <c r="G107" s="2523" t="s">
        <v>2297</v>
      </c>
      <c r="H107" s="1048">
        <f ca="1">IF(E107="——","——",H101-H103)</f>
        <v>21417</v>
      </c>
      <c r="I107" s="138"/>
    </row>
    <row r="108" spans="1:35" ht="18.75" customHeight="1">
      <c r="A108" s="138"/>
      <c r="B108" s="138"/>
      <c r="C108" s="138"/>
      <c r="D108" s="138"/>
      <c r="E108" s="3177"/>
      <c r="F108" s="3147"/>
      <c r="G108" s="2523" t="s">
        <v>2299</v>
      </c>
      <c r="H108" s="371">
        <f ca="1">ROUND(H107*10000/'数据-汇总表'!E3,0)</f>
        <v>10474</v>
      </c>
      <c r="I108" s="138"/>
    </row>
    <row r="109" spans="1:35" ht="18.75" customHeight="1">
      <c r="A109" s="138"/>
      <c r="B109" s="138"/>
      <c r="C109" s="138"/>
      <c r="D109" s="138"/>
      <c r="E109" s="3177" t="str">
        <f>IF(项目基本情况!E8="已注销及未注销","4.抵押担保权已注销时的房地产抵押价值",IF(项目基本情况!E8="已注销","3.抵押担保权已注销时的房地产抵押价值","——"))</f>
        <v>——</v>
      </c>
      <c r="F109" s="3147"/>
      <c r="G109" s="2523" t="s">
        <v>2297</v>
      </c>
      <c r="H109" s="348" t="str">
        <f>IF(E109="——","——",H101-H105-H106)</f>
        <v>——</v>
      </c>
      <c r="I109" s="138"/>
    </row>
    <row r="110" spans="1:35" ht="18.75" customHeight="1">
      <c r="A110" s="138"/>
      <c r="B110" s="138"/>
      <c r="C110" s="138"/>
      <c r="D110" s="138"/>
      <c r="E110" s="3177"/>
      <c r="F110" s="3147"/>
      <c r="G110" s="2523" t="s">
        <v>2299</v>
      </c>
      <c r="H110" s="371" t="str">
        <f>IF(H109="——","——",ROUND(H109*10000/'数据-汇总表'!E3,0))</f>
        <v>——</v>
      </c>
      <c r="I110" s="138"/>
    </row>
    <row r="111" spans="1:35" ht="18.75" customHeight="1">
      <c r="A111" s="138"/>
      <c r="B111" s="138"/>
      <c r="C111" s="138"/>
      <c r="D111" s="138"/>
      <c r="E111" s="3178" t="str">
        <f>IF(项目基本情况!E9="抵押净值",IF(OR(项目基本情况!E8="已注销",项目基本情况!E8="房地产抵押价值"),"4.抵押净值","5.抵押净值"),"——")</f>
        <v>——</v>
      </c>
      <c r="F111" s="3179"/>
      <c r="G111" s="2523" t="s">
        <v>2297</v>
      </c>
      <c r="H111" s="1048" t="str">
        <f>IF(E111="——","——",N59)</f>
        <v>——</v>
      </c>
      <c r="I111" s="138"/>
    </row>
    <row r="112" spans="1:35" ht="18.75" customHeight="1" thickBot="1">
      <c r="A112" s="138"/>
      <c r="B112" s="138"/>
      <c r="C112" s="138"/>
      <c r="D112" s="138"/>
      <c r="E112" s="3180"/>
      <c r="F112" s="3181"/>
      <c r="G112" s="2528" t="s">
        <v>2299</v>
      </c>
      <c r="H112" s="790" t="str">
        <f>IF(E111="——","——",N61)</f>
        <v>——</v>
      </c>
      <c r="I112" s="138"/>
    </row>
    <row r="113" spans="1:11" ht="18.75" customHeight="1">
      <c r="A113" s="138"/>
      <c r="B113" s="138"/>
      <c r="C113" s="138"/>
      <c r="D113" s="138"/>
      <c r="E113" s="3189" t="s">
        <v>2305</v>
      </c>
      <c r="F113" s="3189"/>
      <c r="G113" s="3189"/>
      <c r="H113" s="3189"/>
      <c r="I113" s="138"/>
    </row>
    <row r="114" spans="1:11" ht="3.75" customHeight="1">
      <c r="A114" s="2421"/>
      <c r="B114" s="2421"/>
      <c r="C114" s="2421"/>
      <c r="D114" s="2421"/>
      <c r="E114" s="2499"/>
      <c r="F114" s="2499"/>
      <c r="G114" s="2499"/>
      <c r="H114" s="2499"/>
      <c r="I114" s="2421"/>
    </row>
    <row r="115" spans="1:11" ht="18.75" customHeight="1">
      <c r="A115" s="3202" t="s">
        <v>2307</v>
      </c>
      <c r="B115" s="3203"/>
      <c r="C115" s="3203"/>
      <c r="D115" s="3203"/>
      <c r="E115" s="3203"/>
      <c r="F115" s="3203"/>
      <c r="G115" s="3203"/>
      <c r="H115" s="3203"/>
      <c r="I115" s="3204"/>
    </row>
    <row r="116" spans="1:11" ht="27" customHeight="1">
      <c r="A116" s="3101" t="s">
        <v>2308</v>
      </c>
      <c r="B116" s="3156" t="s">
        <v>2309</v>
      </c>
      <c r="C116" s="3156" t="s">
        <v>2310</v>
      </c>
      <c r="D116" s="3162" t="s">
        <v>2311</v>
      </c>
      <c r="E116" s="3163"/>
      <c r="F116" s="3198" t="s">
        <v>3367</v>
      </c>
      <c r="G116" s="3198"/>
      <c r="H116" s="3101" t="s">
        <v>2312</v>
      </c>
      <c r="I116" s="3101"/>
    </row>
    <row r="117" spans="1:11" ht="18.75" customHeight="1">
      <c r="A117" s="3101"/>
      <c r="B117" s="3157"/>
      <c r="C117" s="3157"/>
      <c r="D117" s="1798" t="s">
        <v>2313</v>
      </c>
      <c r="E117" s="1798" t="s">
        <v>2314</v>
      </c>
      <c r="F117" s="1798" t="s">
        <v>2313</v>
      </c>
      <c r="G117" s="1798" t="s">
        <v>2315</v>
      </c>
      <c r="H117" s="1798" t="s">
        <v>2313</v>
      </c>
      <c r="I117" s="1798" t="s">
        <v>2315</v>
      </c>
    </row>
    <row r="118" spans="1:11" ht="24.75" customHeight="1">
      <c r="A118" s="2529" t="str">
        <f>项目基本情况!S2</f>
        <v>房地产</v>
      </c>
      <c r="B118" s="1798">
        <f>M18</f>
        <v>20447.539999999997</v>
      </c>
      <c r="C118" s="1798">
        <f>M19</f>
        <v>40347.69</v>
      </c>
      <c r="D118" s="1798">
        <f ca="1">ROUND(IF(D32="总价",C34,E118*B118/10000),0)</f>
        <v>12165</v>
      </c>
      <c r="E118" s="1798">
        <f ca="1">ROUND(IF(C33="自定义",IF(D32="楼面单价",C34,D118*10000/B118),I118-G118),0)</f>
        <v>5949</v>
      </c>
      <c r="F118" s="1798">
        <f ca="1">ROUND(IF(D32="总价",C35,G118*B118/10000),0)</f>
        <v>9252</v>
      </c>
      <c r="G118" s="1798">
        <f ca="1">ROUND(IF(D32="楼面单价",C35,F118*10000/B118),0)</f>
        <v>4525</v>
      </c>
      <c r="H118" s="1798">
        <f ca="1">ROUND(IF(D32="总价",C32,I118*B118/10000),0)</f>
        <v>21417</v>
      </c>
      <c r="I118" s="1798">
        <f ca="1">ROUND(IF(D32="楼面单价",C32,H118*10000/B118),0)</f>
        <v>10474</v>
      </c>
    </row>
    <row r="119" spans="1:11" ht="18.75" customHeight="1">
      <c r="A119" s="3101" t="s">
        <v>2316</v>
      </c>
      <c r="B119" s="3101"/>
      <c r="C119" s="3101"/>
      <c r="D119" s="3158" t="str">
        <f ca="1">NUMBERSTRING(INT(D118*10000),2)&amp;"元整"</f>
        <v>壹亿贰仟壹佰陆拾伍万元整</v>
      </c>
      <c r="E119" s="3159"/>
      <c r="F119" s="3158" t="str">
        <f ca="1">NUMBERSTRING(INT(F118*10000),2)&amp;"元整"</f>
        <v>玖仟贰佰伍拾贰万元整</v>
      </c>
      <c r="G119" s="3159"/>
      <c r="H119" s="3158" t="str">
        <f ca="1">NUMBERSTRING(INT(H118*10000),2)&amp;"元整"</f>
        <v>贰亿壹仟肆佰壹拾柒万元整</v>
      </c>
      <c r="I119" s="3159"/>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26" t="str">
        <f>IF(D120=0,"故，本次评估不存在"&amp;A120,"故，本次评估"&amp;A120&amp;"为人民币"&amp;D120&amp;"万元整。")</f>
        <v>故，本次评估不存在估价师知悉的法定优先受偿款</v>
      </c>
    </row>
    <row r="121" spans="1:11" ht="18.75" customHeight="1">
      <c r="A121" s="3199" t="s">
        <v>2316</v>
      </c>
      <c r="B121" s="3200"/>
      <c r="C121" s="3201"/>
      <c r="D121" s="3158" t="str">
        <f>IF(D120=0,"零元整",NUMBERSTRING(INT(D120*10000),2)&amp;"元整")</f>
        <v>零元整</v>
      </c>
      <c r="E121" s="3160"/>
      <c r="F121" s="3160"/>
      <c r="G121" s="3160"/>
      <c r="H121" s="3160"/>
      <c r="I121" s="3159"/>
    </row>
    <row r="122" spans="1:11" ht="18.75" customHeight="1">
      <c r="A122" s="3164" t="str">
        <f>IF(项目基本情况!B9="房地产市场价值","",MID(E107,3,LEN(E107)-2))</f>
        <v>房地产抵押价值</v>
      </c>
      <c r="B122" s="3164"/>
      <c r="C122" s="3164"/>
      <c r="D122" s="3153">
        <f ca="1">H107</f>
        <v>21417</v>
      </c>
      <c r="E122" s="3154"/>
      <c r="F122" s="3154"/>
      <c r="G122" s="3154"/>
      <c r="H122" s="3154"/>
      <c r="I122" s="3155"/>
    </row>
    <row r="123" spans="1:11" ht="18.75" customHeight="1">
      <c r="A123" s="3101" t="s">
        <v>2316</v>
      </c>
      <c r="B123" s="3101"/>
      <c r="C123" s="3101"/>
      <c r="D123" s="3158" t="str">
        <f ca="1">NUMBERSTRING(INT(D122*10000),2)&amp;"元整"</f>
        <v>贰亿壹仟肆佰壹拾柒万元整</v>
      </c>
      <c r="E123" s="3160"/>
      <c r="F123" s="3160"/>
      <c r="G123" s="3160"/>
      <c r="H123" s="3160"/>
      <c r="I123" s="3159"/>
    </row>
    <row r="124" spans="1:11" ht="18.75" customHeight="1">
      <c r="A124" s="3164" t="str">
        <f>IF(项目基本情况!B9="房地产市场价值","",MID(E109,3,LEN(E109)-2))</f>
        <v/>
      </c>
      <c r="B124" s="3164"/>
      <c r="C124" s="3164"/>
      <c r="D124" s="3153" t="str">
        <f>H109</f>
        <v>——</v>
      </c>
      <c r="E124" s="3154"/>
      <c r="F124" s="3154"/>
      <c r="G124" s="3154"/>
      <c r="H124" s="3154"/>
      <c r="I124" s="3155"/>
    </row>
    <row r="125" spans="1:11" ht="18.75" customHeight="1">
      <c r="A125" s="3101" t="s">
        <v>2316</v>
      </c>
      <c r="B125" s="3101"/>
      <c r="C125" s="3101"/>
      <c r="D125" s="3158" t="e">
        <f>NUMBERSTRING(INT(D124*10000),2)&amp;"元整"</f>
        <v>#VALUE!</v>
      </c>
      <c r="E125" s="3160"/>
      <c r="F125" s="3160"/>
      <c r="G125" s="3160"/>
      <c r="H125" s="3160"/>
      <c r="I125" s="3159"/>
    </row>
    <row r="126" spans="1:11" ht="18.75" customHeight="1">
      <c r="A126" s="3164" t="str">
        <f>IF(项目基本情况!B9="房地产市场价值","",MID(E111,3,LEN(E111)-2))</f>
        <v/>
      </c>
      <c r="B126" s="3164"/>
      <c r="C126" s="3164"/>
      <c r="D126" s="3153" t="str">
        <f>H111</f>
        <v>——</v>
      </c>
      <c r="E126" s="3154"/>
      <c r="F126" s="3154"/>
      <c r="G126" s="3154"/>
      <c r="H126" s="3154"/>
      <c r="I126" s="3155"/>
    </row>
    <row r="127" spans="1:11" ht="18.75" customHeight="1">
      <c r="A127" s="3101" t="s">
        <v>2316</v>
      </c>
      <c r="B127" s="3101"/>
      <c r="C127" s="3101"/>
      <c r="D127" s="3158" t="e">
        <f>NUMBERSTRING(INT(D126*10000),2)&amp;"元整"</f>
        <v>#VALUE!</v>
      </c>
      <c r="E127" s="3160"/>
      <c r="F127" s="3160"/>
      <c r="G127" s="3160"/>
      <c r="H127" s="3160"/>
      <c r="I127" s="3159"/>
    </row>
    <row r="128" spans="1:11" ht="21.75" customHeight="1">
      <c r="A128" s="3161" t="s">
        <v>2317</v>
      </c>
      <c r="B128" s="3161"/>
      <c r="C128" s="3161"/>
      <c r="D128" s="3161"/>
      <c r="E128" s="3161"/>
      <c r="F128" s="3161"/>
      <c r="G128" s="3161"/>
      <c r="H128" s="3161"/>
      <c r="I128" s="3161"/>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5" t="str">
        <f>项目基本情况!B1</f>
        <v>房地产抵押价值预评估</v>
      </c>
      <c r="C37" s="3035"/>
      <c r="D37" s="3035"/>
      <c r="E37" s="3035"/>
      <c r="F37" s="3035"/>
      <c r="G37" s="3035"/>
      <c r="H37" s="3035"/>
      <c r="I37" s="303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22" sqref="G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4197</v>
      </c>
      <c r="C1" s="242"/>
      <c r="D1" s="242"/>
      <c r="E1" s="242"/>
      <c r="F1" s="242"/>
      <c r="G1" s="1382">
        <f>MATCH(B1,'数据-取费表'!A6:A16,0)+5</f>
        <v>6</v>
      </c>
    </row>
    <row r="2" spans="1:9" s="244" customFormat="1" ht="18" customHeight="1">
      <c r="A2" s="245" t="s">
        <v>2326</v>
      </c>
      <c r="B2" s="246">
        <f ca="1">IF(D2="——",C52,C52-E2)</f>
        <v>19510</v>
      </c>
      <c r="C2" s="243" t="s">
        <v>2327</v>
      </c>
      <c r="D2" s="2552" t="s">
        <v>70</v>
      </c>
      <c r="E2" s="1443" t="e">
        <f ca="1">SUMIF(INDIRECT("'"&amp;G2&amp;"'"&amp;"!A:A"),"承租人权益价值",INDIRECT("'"&amp;G2&amp;"'"&amp;"!c:c"))</f>
        <v>#REF!</v>
      </c>
      <c r="F2" s="2553" t="s">
        <v>2327</v>
      </c>
      <c r="G2" s="2554" t="s">
        <v>4488</v>
      </c>
    </row>
    <row r="3" spans="1:9" s="244" customFormat="1" ht="18" customHeight="1" thickBot="1">
      <c r="A3" s="247" t="s">
        <v>2328</v>
      </c>
      <c r="B3" s="248">
        <f ca="1">ROUND(B2*10000/(IF(B1="",'数据-汇总表'!E3,INDIRECT("'数据-取费表'!k"&amp;$G$1))),0)</f>
        <v>9541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7250</v>
      </c>
      <c r="D5" s="255" t="s">
        <v>2333</v>
      </c>
      <c r="E5" s="256" t="s">
        <v>2334</v>
      </c>
      <c r="F5" s="256" t="s">
        <v>2335</v>
      </c>
      <c r="G5" s="257"/>
    </row>
    <row r="6" spans="1:9" s="258" customFormat="1" ht="13.5" customHeight="1">
      <c r="A6" s="952" t="s">
        <v>2336</v>
      </c>
      <c r="B6" s="259" t="s">
        <v>2337</v>
      </c>
      <c r="C6" s="260">
        <f>'土地比较法-住宅、综合'!B2</f>
        <v>6758</v>
      </c>
      <c r="D6" s="261"/>
      <c r="E6" s="262"/>
      <c r="F6" s="262"/>
      <c r="G6" s="263"/>
    </row>
    <row r="7" spans="1:9" s="258" customFormat="1" ht="13.5" customHeight="1">
      <c r="A7" s="952" t="s">
        <v>2338</v>
      </c>
      <c r="B7" s="259" t="s">
        <v>2339</v>
      </c>
      <c r="C7" s="264">
        <f>ROUND(C6*F7,0)</f>
        <v>206</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286</v>
      </c>
      <c r="D8" s="266"/>
      <c r="E8" s="264"/>
      <c r="F8" s="265"/>
      <c r="G8" s="3031" t="s">
        <v>4487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t="s">
        <v>4489</v>
      </c>
      <c r="H9" s="1393"/>
      <c r="I9" s="2557" t="s">
        <v>2343</v>
      </c>
    </row>
    <row r="10" spans="1:9" s="258" customFormat="1" ht="13.5" customHeight="1">
      <c r="A10" s="953" t="s">
        <v>801</v>
      </c>
      <c r="B10" s="268" t="s">
        <v>2344</v>
      </c>
      <c r="C10" s="269">
        <f ca="1">ROUND(D10*E10/10000,0)</f>
        <v>286</v>
      </c>
      <c r="D10" s="1035">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20447.539999999997</v>
      </c>
      <c r="E19" s="255">
        <f>'数据-取费表'!B31</f>
        <v>180</v>
      </c>
      <c r="F19" s="275"/>
      <c r="G19" s="3031" t="s">
        <v>3416</v>
      </c>
    </row>
    <row r="20" spans="1:7" s="258" customFormat="1" ht="13.5" customHeight="1">
      <c r="A20" s="299" t="s">
        <v>2357</v>
      </c>
      <c r="B20" s="254" t="s">
        <v>2358</v>
      </c>
      <c r="C20" s="276">
        <f ca="1">ROUND((C5+C19)*F20,0)</f>
        <v>218</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1099</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1083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16</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f ca="1">C28</f>
        <v>1494</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1494</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11074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6030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5316</v>
      </c>
      <c r="D34" s="261"/>
      <c r="E34" s="264"/>
      <c r="F34" s="301">
        <f ca="1">IF('数据-取费表'!B24=0,1,IF(B1="",'数据-取费表'!N16,INDIRECT("'数据-取费表'!n"&amp;$G$1)))</f>
        <v>1</v>
      </c>
      <c r="G34" s="263" t="s">
        <v>2390</v>
      </c>
    </row>
    <row r="35" spans="1:7" ht="13.5" customHeight="1">
      <c r="A35" s="954" t="s">
        <v>796</v>
      </c>
      <c r="B35" s="259" t="s">
        <v>2391</v>
      </c>
      <c r="C35" s="264">
        <f ca="1">ROUND(C34*F35,0)</f>
        <v>266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368</v>
      </c>
      <c r="D37" s="261">
        <f ca="1">D19</f>
        <v>20447.539999999997</v>
      </c>
      <c r="E37" s="293">
        <f>'数据-取费表'!B35</f>
        <v>180</v>
      </c>
      <c r="F37" s="303"/>
      <c r="G37" s="305" t="s">
        <v>2396</v>
      </c>
    </row>
    <row r="38" spans="1:7" ht="13.5" customHeight="1">
      <c r="A38" s="954" t="s">
        <v>799</v>
      </c>
      <c r="B38" s="259" t="s">
        <v>2397</v>
      </c>
      <c r="C38" s="264">
        <f ca="1">ROUND(C34*F38,0)</f>
        <v>80</v>
      </c>
      <c r="D38" s="264"/>
      <c r="E38" s="264"/>
      <c r="F38" s="303">
        <f>'数据-取费表'!B36</f>
        <v>1.4999999999999999E-2</v>
      </c>
      <c r="G38" s="263" t="s">
        <v>2392</v>
      </c>
    </row>
    <row r="39" spans="1:7" s="258" customFormat="1" ht="13.5" customHeight="1">
      <c r="A39" s="299" t="s">
        <v>2398</v>
      </c>
      <c r="B39" s="254" t="s">
        <v>2399</v>
      </c>
      <c r="C39" s="276">
        <f ca="1">ROUND(C33*F20,0)</f>
        <v>181</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448</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435</v>
      </c>
      <c r="D42" s="282"/>
      <c r="E42" s="282"/>
      <c r="F42" s="283"/>
      <c r="G42" s="3233" t="s">
        <v>2408</v>
      </c>
    </row>
    <row r="43" spans="1:7" ht="13.5" customHeight="1">
      <c r="A43" s="954" t="s">
        <v>792</v>
      </c>
      <c r="B43" s="259" t="s">
        <v>2409</v>
      </c>
      <c r="C43" s="282">
        <f ca="1">ROUND(IF('数据-取费表'!B22&lt;=1,C39*F22*'数据-取费表'!B21/2,C39*(POWER((1+F22),'数据-取费表'!B21/2)-1)),0)</f>
        <v>13</v>
      </c>
      <c r="D43" s="282"/>
      <c r="E43" s="282"/>
      <c r="F43" s="283"/>
      <c r="G43" s="3234"/>
    </row>
    <row r="44" spans="1:7" ht="13.5" customHeight="1">
      <c r="A44" s="954" t="s">
        <v>793</v>
      </c>
      <c r="B44" s="259" t="s">
        <v>2410</v>
      </c>
      <c r="C44" s="282">
        <f ca="1">ROUND(IF('数据-取费表'!B22&lt;=1,C40*F22*'数据-取费表'!B21/2,C40*(POWER((1+F22),'数据-取费表'!B21/2)-1)),4)</f>
        <v>2.2000000000000001E-3</v>
      </c>
      <c r="D44" s="282"/>
      <c r="E44" s="282"/>
      <c r="F44" s="283"/>
      <c r="G44" s="3235"/>
    </row>
    <row r="45" spans="1:7" s="258" customFormat="1" ht="13.5" customHeight="1">
      <c r="A45" s="299" t="s">
        <v>2411</v>
      </c>
      <c r="B45" s="288" t="s">
        <v>2377</v>
      </c>
      <c r="C45" s="289">
        <f ca="1">C46</f>
        <v>1242</v>
      </c>
      <c r="D45" s="279">
        <f ca="1">C47</f>
        <v>6.0000000000000001E-3</v>
      </c>
      <c r="E45" s="280" t="s">
        <v>2403</v>
      </c>
      <c r="F45" s="290"/>
      <c r="G45" s="291" t="s">
        <v>2412</v>
      </c>
    </row>
    <row r="46" spans="1:7" s="258" customFormat="1" ht="13.5" customHeight="1">
      <c r="A46" s="954" t="s">
        <v>791</v>
      </c>
      <c r="B46" s="292" t="s">
        <v>2413</v>
      </c>
      <c r="C46" s="293">
        <f ca="1">ROUND((C33+C39)*F27,0)</f>
        <v>1242</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8697</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f ca="1">ROUND(C49*F50,0)</f>
        <v>8436</v>
      </c>
      <c r="D51" s="276"/>
      <c r="E51" s="276"/>
      <c r="F51" s="308"/>
      <c r="G51" s="278" t="s">
        <v>2424</v>
      </c>
    </row>
    <row r="52" spans="1:7" s="252" customFormat="1" ht="16.5" thickBot="1">
      <c r="A52" s="309" t="s">
        <v>2425</v>
      </c>
      <c r="B52" s="310"/>
      <c r="C52" s="311">
        <f ca="1">C31+C51</f>
        <v>19510</v>
      </c>
      <c r="D52" s="310"/>
      <c r="E52" s="310"/>
      <c r="F52" s="310"/>
      <c r="G52" s="312"/>
    </row>
    <row r="55" spans="1:7" ht="15">
      <c r="B55" s="314" t="s">
        <v>2426</v>
      </c>
      <c r="C55" s="315"/>
    </row>
    <row r="56" spans="1:7">
      <c r="B56" s="317" t="s">
        <v>1509</v>
      </c>
      <c r="C56" s="319">
        <f ca="1">1-C57</f>
        <v>0.56800000000000006</v>
      </c>
    </row>
    <row r="57" spans="1:7">
      <c r="B57" s="317" t="s">
        <v>1510</v>
      </c>
      <c r="C57" s="318">
        <f ca="1">ROUND(C51/C52,3)</f>
        <v>0.432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9435</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4614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2862656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2862656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2862656</v>
      </c>
      <c r="D10" s="1035">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3680557</v>
      </c>
      <c r="D19" s="1039">
        <f ca="1">D9+D10</f>
        <v>20447.539999999997</v>
      </c>
      <c r="E19" s="255">
        <f>'数据-取费表'!B31</f>
        <v>180</v>
      </c>
      <c r="F19" s="275"/>
      <c r="G19" s="2555"/>
    </row>
    <row r="20" spans="1:7" s="258" customFormat="1" ht="13.5" customHeight="1">
      <c r="A20" s="299" t="s">
        <v>2438</v>
      </c>
      <c r="B20" s="254" t="s">
        <v>2439</v>
      </c>
      <c r="C20" s="276">
        <f ca="1">ROUND((C5+C19)*F20,0)</f>
        <v>196296</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991550</v>
      </c>
      <c r="D22" s="279">
        <f ca="1">C26</f>
        <v>2.2000000000000001E-3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427612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549787</v>
      </c>
      <c r="D24" s="282"/>
      <c r="E24" s="282"/>
      <c r="F24" s="283"/>
      <c r="G24" s="284" t="s">
        <v>2450</v>
      </c>
    </row>
    <row r="25" spans="1:7" s="258" customFormat="1" ht="24">
      <c r="A25" s="954" t="s">
        <v>2340</v>
      </c>
      <c r="B25" s="259" t="s">
        <v>2451</v>
      </c>
      <c r="C25" s="1384">
        <f ca="1">ROUND(IF('数据-取费表'!B22&lt;=1,C20*F22*'数据-取费表'!B22/2,C20*(POWER((1+F22),'数据-取费表'!B22/2)-1)),0)</f>
        <v>14151</v>
      </c>
      <c r="D25" s="282"/>
      <c r="E25" s="285"/>
      <c r="F25" s="283"/>
      <c r="G25" s="286" t="s">
        <v>2452</v>
      </c>
    </row>
    <row r="26" spans="1:7" s="258" customFormat="1">
      <c r="A26" s="954" t="s">
        <v>795</v>
      </c>
      <c r="B26" s="259" t="s">
        <v>2375</v>
      </c>
      <c r="C26" s="282">
        <f ca="1">ROUND(IF('数据-取费表'!B22&lt;=1,F21*F22*'数据-取费表'!B22/2,F21*(POWER((1+F22),'数据-取费表'!B22/2)-1)),4)</f>
        <v>2.2000000000000001E-3</v>
      </c>
      <c r="D26" s="282"/>
      <c r="E26" s="285"/>
      <c r="F26" s="283"/>
      <c r="G26" s="287"/>
    </row>
    <row r="27" spans="1:7" s="258" customFormat="1" ht="24.75">
      <c r="A27" s="299" t="s">
        <v>2376</v>
      </c>
      <c r="B27" s="288" t="s">
        <v>2377</v>
      </c>
      <c r="C27" s="289">
        <f ca="1">C28</f>
        <v>1347902</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1347902</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9993353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60299795</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53163604</v>
      </c>
      <c r="D34" s="261"/>
      <c r="E34" s="264"/>
      <c r="F34" s="301"/>
      <c r="G34" s="263"/>
    </row>
    <row r="35" spans="1:7" ht="13.5" customHeight="1">
      <c r="A35" s="954" t="s">
        <v>796</v>
      </c>
      <c r="B35" s="259" t="s">
        <v>2391</v>
      </c>
      <c r="C35" s="264">
        <f ca="1">ROUND(C34*F35,0)</f>
        <v>2658180</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3680557</v>
      </c>
      <c r="D37" s="261">
        <f ca="1">D19</f>
        <v>20447.539999999997</v>
      </c>
      <c r="E37" s="293">
        <f>'数据-取费表'!B35</f>
        <v>180</v>
      </c>
      <c r="F37" s="303"/>
      <c r="G37" s="305"/>
    </row>
    <row r="38" spans="1:7" ht="13.5" customHeight="1">
      <c r="A38" s="954" t="s">
        <v>799</v>
      </c>
      <c r="B38" s="259" t="s">
        <v>2397</v>
      </c>
      <c r="C38" s="264">
        <f ca="1">ROUND(C34*F38,0)</f>
        <v>797454</v>
      </c>
      <c r="D38" s="264"/>
      <c r="E38" s="264"/>
      <c r="F38" s="303">
        <f>'数据-取费表'!B36</f>
        <v>1.4999999999999999E-2</v>
      </c>
      <c r="G38" s="263" t="s">
        <v>2392</v>
      </c>
    </row>
    <row r="39" spans="1:7" s="258" customFormat="1" ht="13.5" customHeight="1">
      <c r="A39" s="299" t="s">
        <v>2398</v>
      </c>
      <c r="B39" s="254" t="s">
        <v>2399</v>
      </c>
      <c r="C39" s="276">
        <f ca="1">ROUND(C33*F20,0)</f>
        <v>1808994</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4477392</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4346983</v>
      </c>
      <c r="D42" s="282"/>
      <c r="E42" s="282"/>
      <c r="F42" s="283"/>
      <c r="G42" s="3233" t="s">
        <v>2455</v>
      </c>
    </row>
    <row r="43" spans="1:7" ht="13.5" customHeight="1">
      <c r="A43" s="954" t="s">
        <v>792</v>
      </c>
      <c r="B43" s="259" t="s">
        <v>2409</v>
      </c>
      <c r="C43" s="282">
        <f ca="1">ROUND(IF('数据-取费表'!B22&lt;=1,C39*F22*'数据-取费表'!B20/2,C39*(POWER((1+F22),'数据-取费表'!B20/2)-1)),0)</f>
        <v>130409</v>
      </c>
      <c r="D43" s="282"/>
      <c r="E43" s="282"/>
      <c r="F43" s="283"/>
      <c r="G43" s="3234"/>
    </row>
    <row r="44" spans="1:7" ht="13.5" customHeight="1">
      <c r="A44" s="954" t="s">
        <v>793</v>
      </c>
      <c r="B44" s="259" t="s">
        <v>2410</v>
      </c>
      <c r="C44" s="282">
        <f ca="1">ROUND(IF('数据-取费表'!B22&lt;=1,C40*F22*'数据-取费表'!B20/2,C40*(POWER((1+F22),'数据-取费表'!B20/2)-1)),4)</f>
        <v>2.2000000000000001E-3</v>
      </c>
      <c r="D44" s="282"/>
      <c r="E44" s="282"/>
      <c r="F44" s="283"/>
      <c r="G44" s="3235"/>
    </row>
    <row r="45" spans="1:7" s="258" customFormat="1" ht="13.5" customHeight="1">
      <c r="A45" s="299" t="s">
        <v>2411</v>
      </c>
      <c r="B45" s="288" t="s">
        <v>2377</v>
      </c>
      <c r="C45" s="289">
        <f ca="1">C46</f>
        <v>12421758</v>
      </c>
      <c r="D45" s="279">
        <f ca="1">C47</f>
        <v>6.0000000000000001E-3</v>
      </c>
      <c r="E45" s="280" t="s">
        <v>2403</v>
      </c>
      <c r="F45" s="290"/>
      <c r="G45" s="291" t="s">
        <v>2412</v>
      </c>
    </row>
    <row r="46" spans="1:7" s="258" customFormat="1" ht="13.5" customHeight="1">
      <c r="A46" s="954" t="s">
        <v>791</v>
      </c>
      <c r="B46" s="292" t="s">
        <v>2413</v>
      </c>
      <c r="C46" s="293">
        <f ca="1">ROUND((C33+C39)*F27,0)</f>
        <v>12421758</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86965260</v>
      </c>
      <c r="D49" s="276"/>
      <c r="E49" s="276"/>
      <c r="F49" s="308"/>
      <c r="G49" s="278" t="s">
        <v>2418</v>
      </c>
    </row>
    <row r="50" spans="1:7" s="302" customFormat="1">
      <c r="A50" s="299" t="s">
        <v>2419</v>
      </c>
      <c r="B50" s="254" t="s">
        <v>2420</v>
      </c>
      <c r="C50" s="276"/>
      <c r="D50" s="276"/>
      <c r="E50" s="276"/>
      <c r="F50" s="308">
        <f>IF('数据-取费表'!B24=0,'数据-取费表'!N16,1)</f>
        <v>0.97</v>
      </c>
      <c r="G50" s="291"/>
    </row>
    <row r="51" spans="1:7" ht="16.5" customHeight="1">
      <c r="A51" s="299" t="s">
        <v>2422</v>
      </c>
      <c r="B51" s="254" t="s">
        <v>2457</v>
      </c>
      <c r="C51" s="276">
        <f ca="1">ROUND(C49*F50,0)</f>
        <v>84356302</v>
      </c>
      <c r="D51" s="276"/>
      <c r="E51" s="276"/>
      <c r="F51" s="308"/>
      <c r="G51" s="278" t="s">
        <v>2424</v>
      </c>
    </row>
    <row r="52" spans="1:7" s="252" customFormat="1" ht="16.5" thickBot="1">
      <c r="A52" s="309" t="s">
        <v>2425</v>
      </c>
      <c r="B52" s="310"/>
      <c r="C52" s="311">
        <f ca="1">C31+C51</f>
        <v>94349655</v>
      </c>
      <c r="D52" s="310"/>
      <c r="E52" s="310"/>
      <c r="F52" s="310"/>
      <c r="G52" s="312"/>
    </row>
    <row r="55" spans="1:7" ht="15">
      <c r="B55" s="314" t="s">
        <v>2426</v>
      </c>
      <c r="C55" s="315"/>
    </row>
    <row r="56" spans="1:7">
      <c r="B56" s="317" t="s">
        <v>1509</v>
      </c>
      <c r="C56" s="319">
        <f ca="1">1-C57</f>
        <v>0.10599999999999998</v>
      </c>
    </row>
    <row r="57" spans="1:7">
      <c r="B57" s="317" t="s">
        <v>1510</v>
      </c>
      <c r="C57" s="318">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-344</v>
      </c>
      <c r="C2" s="320" t="s">
        <v>2459</v>
      </c>
      <c r="D2" s="320"/>
      <c r="E2" s="320"/>
      <c r="F2" s="320"/>
      <c r="G2" s="320"/>
      <c r="H2" s="320"/>
      <c r="I2" s="320"/>
      <c r="J2" s="320"/>
      <c r="K2" s="320"/>
    </row>
    <row r="3" spans="1:33" ht="18" customHeight="1" thickBot="1">
      <c r="A3" s="247" t="s">
        <v>2328</v>
      </c>
      <c r="B3" s="248">
        <f ca="1">ROUND(B2*10000/IF(C1="",'数据-汇总表'!E3,INDIRECT("'数据-取费表'!K"&amp;$K$1)),0)</f>
        <v>-168</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20447.539999999997</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20447.539999999997</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286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286</v>
      </c>
      <c r="D20" s="1036">
        <f ca="1">IF(C1="",'数据-汇总表'!E6,IF(INDIRECT("'数据-取费表'!c"&amp;$K$1)="住宅",INDIRECT("'数据-取费表'!s"&amp;$K$1),INDIRECT("'数据-取费表'!k"&amp;$K$1)+INDIRECT("'数据-取费表'!s"&amp;$K$1)))</f>
        <v>20447.539999999997</v>
      </c>
      <c r="E20" s="24">
        <f>'数据-取费表'!B28</f>
        <v>140</v>
      </c>
      <c r="F20" s="979"/>
      <c r="G20" s="15"/>
      <c r="H20" s="984"/>
      <c r="I20" s="984"/>
      <c r="J20" s="984"/>
      <c r="K20" s="985"/>
    </row>
    <row r="21" spans="1:33" s="978" customFormat="1" ht="13.5" customHeight="1">
      <c r="A21" s="964" t="s">
        <v>802</v>
      </c>
      <c r="B21" s="988" t="s">
        <v>2495</v>
      </c>
      <c r="C21" s="989">
        <f ca="1">C16+C17+C18</f>
        <v>286</v>
      </c>
      <c r="D21" s="990"/>
      <c r="E21" s="325"/>
      <c r="F21" s="325"/>
      <c r="G21" s="140" t="s">
        <v>2496</v>
      </c>
      <c r="H21" s="982"/>
      <c r="I21" s="982"/>
      <c r="J21" s="982"/>
      <c r="K21" s="983"/>
    </row>
    <row r="22" spans="1:33" s="978" customFormat="1" ht="13.5" customHeight="1">
      <c r="A22" s="964" t="s">
        <v>2468</v>
      </c>
      <c r="B22" s="988" t="s">
        <v>2497</v>
      </c>
      <c r="C22" s="989">
        <f ca="1">ROUND(C21*F22,0)</f>
        <v>9</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59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59</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-344</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3</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面积表!M24</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3" t="s">
        <v>2408</v>
      </c>
    </row>
    <row r="43" spans="1:7" ht="13.5" customHeight="1">
      <c r="A43" s="954" t="s">
        <v>792</v>
      </c>
      <c r="B43" s="259" t="s">
        <v>2370</v>
      </c>
      <c r="C43" s="282" t="e">
        <f ca="1">ROUND(IF('数据-取费表'!B22&lt;=1,C39*F22*'数据-取费表'!B21/2,C39*(POWER((1+F22),'数据-取费表'!B21/2)-1)),0)</f>
        <v>#N/A</v>
      </c>
      <c r="D43" s="282"/>
      <c r="E43" s="282"/>
      <c r="F43" s="283"/>
      <c r="G43" s="3234"/>
    </row>
    <row r="44" spans="1:7" ht="13.5" customHeight="1">
      <c r="A44" s="954" t="s">
        <v>793</v>
      </c>
      <c r="B44" s="259" t="s">
        <v>2373</v>
      </c>
      <c r="C44" s="282">
        <f ca="1">ROUND(IF('数据-取费表'!B22&lt;=1,C40*F22*'数据-取费表'!B21/2,C40*(POWER((1+F22),'数据-取费表'!B21/2)-1)),4)</f>
        <v>2.2000000000000001E-3</v>
      </c>
      <c r="D44" s="282"/>
      <c r="E44" s="282"/>
      <c r="F44" s="283"/>
      <c r="G44" s="3235"/>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7</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面积表!M25</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3" t="s">
        <v>2408</v>
      </c>
    </row>
    <row r="43" spans="1:7" ht="13.5" customHeight="1">
      <c r="A43" s="954" t="s">
        <v>792</v>
      </c>
      <c r="B43" s="259" t="s">
        <v>2370</v>
      </c>
      <c r="C43" s="282" t="e">
        <f ca="1">ROUND(IF('数据-取费表'!B22&lt;=1,C39*F22*'数据-取费表'!B21/2,C39*(POWER((1+F22),'数据-取费表'!B21/2)-1)),0)</f>
        <v>#N/A</v>
      </c>
      <c r="D43" s="282"/>
      <c r="E43" s="282"/>
      <c r="F43" s="283"/>
      <c r="G43" s="3234"/>
    </row>
    <row r="44" spans="1:7" ht="13.5" customHeight="1">
      <c r="A44" s="954" t="s">
        <v>793</v>
      </c>
      <c r="B44" s="259" t="s">
        <v>2373</v>
      </c>
      <c r="C44" s="282">
        <f ca="1">ROUND(IF('数据-取费表'!B22&lt;=1,C40*F22*'数据-取费表'!B21/2,C40*(POWER((1+F22),'数据-取费表'!B21/2)-1)),4)</f>
        <v>2.2000000000000001E-3</v>
      </c>
      <c r="D44" s="282"/>
      <c r="E44" s="282"/>
      <c r="F44" s="283"/>
      <c r="G44" s="3235"/>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8" sqref="J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4197</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23324</v>
      </c>
      <c r="C2" s="1848" t="s">
        <v>1512</v>
      </c>
      <c r="D2" s="1848"/>
      <c r="E2" s="1849"/>
      <c r="F2" s="1850"/>
      <c r="G2" s="1851"/>
      <c r="H2" s="1843"/>
      <c r="I2" s="1843"/>
      <c r="J2" s="1843"/>
      <c r="K2" s="1844"/>
      <c r="L2" s="1843"/>
      <c r="M2" s="1843"/>
    </row>
    <row r="3" spans="1:37" ht="18" customHeight="1" thickBot="1">
      <c r="A3" s="1852" t="s">
        <v>1513</v>
      </c>
      <c r="B3" s="1853">
        <f ca="1">IF(ISERROR(B2*10000/F43),0,ROUND(B2*10000/F43,0))</f>
        <v>11407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1480</v>
      </c>
      <c r="D5" s="1825" t="s">
        <v>1398</v>
      </c>
      <c r="E5" s="1296"/>
      <c r="F5" s="1297"/>
      <c r="G5" s="1854"/>
      <c r="H5" s="344">
        <v>1</v>
      </c>
      <c r="I5" s="345" t="s">
        <v>1397</v>
      </c>
      <c r="J5" s="1295">
        <f ca="1">J6+J10+J12</f>
        <v>0</v>
      </c>
      <c r="K5" s="1825" t="s">
        <v>1398</v>
      </c>
      <c r="L5" s="1296"/>
      <c r="M5" s="1297"/>
    </row>
    <row r="6" spans="1:37" ht="18" customHeight="1">
      <c r="A6" s="1294" t="s">
        <v>1032</v>
      </c>
      <c r="B6" s="3238" t="s">
        <v>1399</v>
      </c>
      <c r="C6" s="1299">
        <f ca="1">ROUND(F6*F8*F7*(1-F9)/10000,0)</f>
        <v>1478</v>
      </c>
      <c r="D6" s="164" t="s">
        <v>3032</v>
      </c>
      <c r="E6" s="347" t="s">
        <v>1401</v>
      </c>
      <c r="F6" s="348">
        <f ca="1">INDIRECT("'数据-取费表'!u"&amp;$G$1)</f>
        <v>2.2000000000000002</v>
      </c>
      <c r="G6" s="1854"/>
      <c r="H6" s="1294" t="s">
        <v>1032</v>
      </c>
      <c r="I6" s="3238" t="s">
        <v>1399</v>
      </c>
      <c r="J6" s="346">
        <f ca="1">ROUND(M6*M8*M7*(1-M9)/10000,0)</f>
        <v>0</v>
      </c>
      <c r="K6" s="164" t="s">
        <v>3031</v>
      </c>
      <c r="L6" s="347" t="s">
        <v>1401</v>
      </c>
      <c r="M6" s="348">
        <f ca="1">INDIRECT("'数据-取费表'!z"&amp;$G$1)</f>
        <v>0</v>
      </c>
    </row>
    <row r="7" spans="1:37" ht="18" customHeight="1">
      <c r="A7" s="1298"/>
      <c r="B7" s="3239"/>
      <c r="C7" s="1300"/>
      <c r="D7" s="352"/>
      <c r="E7" s="1301" t="s">
        <v>1402</v>
      </c>
      <c r="F7" s="348">
        <f ca="1">IF(INDIRECT("'数据-取费表'!ah"&amp;$G$1)="",INDIRECT("'数据-取费表'!k"&amp;$G$1),INDIRECT("'数据-取费表'!ah"&amp;$G$1))</f>
        <v>20447.539999999997</v>
      </c>
      <c r="G7" s="1854"/>
      <c r="H7" s="349"/>
      <c r="I7" s="3239"/>
      <c r="J7" s="351"/>
      <c r="K7" s="352"/>
      <c r="L7" s="347" t="s">
        <v>1402</v>
      </c>
      <c r="M7" s="348">
        <f ca="1">F7</f>
        <v>20447.539999999997</v>
      </c>
    </row>
    <row r="8" spans="1:37" ht="18" customHeight="1">
      <c r="A8" s="349"/>
      <c r="B8" s="3239"/>
      <c r="C8" s="351"/>
      <c r="D8" s="352"/>
      <c r="E8" s="347" t="s">
        <v>1403</v>
      </c>
      <c r="F8" s="348">
        <f ca="1">INDIRECT("'数据-取费表'!ai"&amp;$G$1)</f>
        <v>365</v>
      </c>
      <c r="G8" s="1854"/>
      <c r="H8" s="349"/>
      <c r="I8" s="3239"/>
      <c r="J8" s="351"/>
      <c r="K8" s="352"/>
      <c r="L8" s="347" t="s">
        <v>1403</v>
      </c>
      <c r="M8" s="348">
        <f ca="1">INDIRECT("'数据-取费表'!ai"&amp;$G$1)</f>
        <v>365</v>
      </c>
    </row>
    <row r="9" spans="1:37" ht="18" customHeight="1">
      <c r="A9" s="349"/>
      <c r="B9" s="3240"/>
      <c r="C9" s="351"/>
      <c r="D9" s="352"/>
      <c r="E9" s="347" t="s">
        <v>1404</v>
      </c>
      <c r="F9" s="357">
        <f ca="1">INDIRECT("'数据-取费表'!w"&amp;$G$1)</f>
        <v>0.1</v>
      </c>
      <c r="G9" s="1854"/>
      <c r="H9" s="349"/>
      <c r="I9" s="32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3041</v>
      </c>
      <c r="E10" s="358" t="s">
        <v>1406</v>
      </c>
      <c r="F10" s="1369" t="s">
        <v>3365</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8436</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5316</v>
      </c>
      <c r="D14" s="1803" t="s">
        <v>1414</v>
      </c>
      <c r="E14" s="1797"/>
      <c r="F14" s="364"/>
      <c r="G14" s="1854"/>
      <c r="H14" s="1204" t="s">
        <v>1032</v>
      </c>
      <c r="I14" s="347" t="s">
        <v>1415</v>
      </c>
      <c r="J14" s="24">
        <f ca="1">C29</f>
        <v>8697</v>
      </c>
      <c r="K14" s="15"/>
      <c r="L14" s="982"/>
      <c r="M14" s="983"/>
    </row>
    <row r="15" spans="1:37" s="1861" customFormat="1" ht="18" customHeight="1" thickBot="1">
      <c r="A15" s="1204" t="s">
        <v>1033</v>
      </c>
      <c r="B15" s="347" t="s">
        <v>1416</v>
      </c>
      <c r="C15" s="24">
        <f ca="1">ROUND(C14*F15,0)</f>
        <v>266</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224</v>
      </c>
      <c r="K16" s="1340" t="s">
        <v>1421</v>
      </c>
      <c r="L16" s="1341"/>
      <c r="M16" s="1297"/>
    </row>
    <row r="17" spans="1:37" s="1861" customFormat="1" ht="18" customHeight="1">
      <c r="A17" s="1204" t="s">
        <v>1386</v>
      </c>
      <c r="B17" s="347" t="s">
        <v>1422</v>
      </c>
      <c r="C17" s="24">
        <f ca="1">ROUND(F17*(F43+INDIRECT("'数据-取费表'!S"&amp;$G$1))/10000,0)</f>
        <v>368</v>
      </c>
      <c r="D17" s="347" t="s">
        <v>1423</v>
      </c>
      <c r="E17" s="347" t="s">
        <v>1424</v>
      </c>
      <c r="F17" s="26">
        <f>'数据-取费表'!B35</f>
        <v>180</v>
      </c>
      <c r="G17" s="1857"/>
      <c r="H17" s="1204" t="s">
        <v>1032</v>
      </c>
      <c r="I17" s="347" t="s">
        <v>1425</v>
      </c>
      <c r="J17" s="24">
        <f ca="1">ROUND(IF(项目基本情况!B11="自然人",J5*M17,J18+J19+J20),1)</f>
        <v>93.2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6030</v>
      </c>
      <c r="D19" s="140" t="s">
        <v>1432</v>
      </c>
      <c r="E19" s="1821"/>
      <c r="F19" s="26"/>
      <c r="G19" s="1854"/>
      <c r="H19" s="1204" t="s">
        <v>1033</v>
      </c>
      <c r="I19" s="347" t="s">
        <v>1433</v>
      </c>
      <c r="J19" s="24">
        <f ca="1">IF(K19="按租金收入计税",ROUND(J5*M19,2),ROUND(C29*M19*0.7,2))</f>
        <v>73.05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181</v>
      </c>
      <c r="D20" s="369" t="s">
        <v>1436</v>
      </c>
      <c r="E20" s="347" t="s">
        <v>1418</v>
      </c>
      <c r="F20" s="367">
        <f>'数据-取费表'!B37</f>
        <v>0.03</v>
      </c>
      <c r="G20" s="1857"/>
      <c r="H20" s="1204" t="s">
        <v>1385</v>
      </c>
      <c r="I20" s="164" t="s">
        <v>1437</v>
      </c>
      <c r="J20" s="25">
        <f ca="1">ROUND(M20*M21/10000,2)</f>
        <v>20.170000000000002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40347.69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130.5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448</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-224</v>
      </c>
      <c r="K25" s="1348" t="s">
        <v>1460</v>
      </c>
      <c r="L25" s="1349"/>
      <c r="M25" s="1350"/>
    </row>
    <row r="26" spans="1:37">
      <c r="A26" s="1204" t="s">
        <v>1031</v>
      </c>
      <c r="B26" s="347" t="s">
        <v>1461</v>
      </c>
      <c r="C26" s="24">
        <f ca="1">ROUND((C19+C20)*F26,0)</f>
        <v>1242</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8697</v>
      </c>
      <c r="D29" s="1345"/>
      <c r="E29" s="1343"/>
      <c r="F29" s="1346"/>
      <c r="G29" s="1857"/>
      <c r="H29" s="380" t="s">
        <v>1030</v>
      </c>
      <c r="I29" s="381" t="s">
        <v>1475</v>
      </c>
      <c r="J29" s="382">
        <f ca="1">ROUND(J26/(1+F40)^F41,0)</f>
        <v>0</v>
      </c>
      <c r="K29" s="383" t="s">
        <v>1476</v>
      </c>
      <c r="L29" s="384"/>
      <c r="M29" s="385">
        <f ca="1">INDIRECT("'数据-取费表'!k"&amp;$G$1)</f>
        <v>20447.539999999997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442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276.7</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78.930000000000007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177.6</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20.170000000000002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40347.69</v>
      </c>
      <c r="G35" s="1854"/>
      <c r="H35" s="745"/>
      <c r="I35" s="1863"/>
      <c r="J35" s="1864"/>
      <c r="K35" s="1865"/>
      <c r="L35" s="1862"/>
      <c r="M35" s="1862"/>
    </row>
    <row r="36" spans="1:18" ht="18" customHeight="1">
      <c r="A36" s="1355" t="s">
        <v>1036</v>
      </c>
      <c r="B36" s="347" t="s">
        <v>1445</v>
      </c>
      <c r="C36" s="24">
        <f ca="1">ROUND(C29*F36,1)</f>
        <v>130.5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22.2</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1038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23324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11407</v>
      </c>
      <c r="D43" s="383" t="s">
        <v>1484</v>
      </c>
      <c r="E43" s="384" t="s">
        <v>1485</v>
      </c>
      <c r="F43" s="385">
        <f ca="1">INDIRECT("'数据-取费表'!k"&amp;$G$1)</f>
        <v>20447.539999999997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-37002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f ca="1">INDIRECT("'数据-取费表'!d"&amp;$G$1)</f>
        <v>40</v>
      </c>
      <c r="M47" s="1841" t="str">
        <f>IF(ISNUMBER(FIND("住宅",C1)),"住宅","非住宅")</f>
        <v>非住宅</v>
      </c>
      <c r="O47" s="1887" t="s">
        <v>1037</v>
      </c>
      <c r="P47" s="1888" t="s">
        <v>1524</v>
      </c>
      <c r="Q47" s="1889">
        <f ca="1">C40+J29</f>
        <v>23324</v>
      </c>
      <c r="R47" s="1889" t="s">
        <v>1525</v>
      </c>
    </row>
    <row r="48" spans="1:18" s="1845" customFormat="1" ht="28.5" thickBot="1">
      <c r="A48" s="1363" t="s">
        <v>1132</v>
      </c>
      <c r="B48" s="345" t="s">
        <v>1397</v>
      </c>
      <c r="C48" s="1820">
        <f ca="1">C49+C53+C55</f>
        <v>0</v>
      </c>
      <c r="D48" s="1365"/>
      <c r="E48" s="1366"/>
      <c r="F48" s="1184"/>
      <c r="G48" s="792"/>
      <c r="H48" s="793"/>
      <c r="I48" s="1890" t="s">
        <v>1526</v>
      </c>
      <c r="J48" s="1891" t="s">
        <v>3291</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2017</v>
      </c>
      <c r="K49" s="1892" t="s">
        <v>1531</v>
      </c>
      <c r="L49" s="1896"/>
      <c r="O49" s="1897" t="s">
        <v>1039</v>
      </c>
      <c r="P49" s="1888" t="s">
        <v>1532</v>
      </c>
      <c r="Q49" s="1889">
        <f ca="1">C29</f>
        <v>8697</v>
      </c>
      <c r="R49" s="1889" t="s">
        <v>1525</v>
      </c>
    </row>
    <row r="50" spans="1:18" s="1845" customFormat="1" ht="13.5" thickBot="1">
      <c r="A50" s="1198"/>
      <c r="B50" s="1201"/>
      <c r="C50" s="1371"/>
      <c r="D50" s="1175"/>
      <c r="E50" s="1280" t="s">
        <v>1402</v>
      </c>
      <c r="F50" s="1281">
        <f ca="1">F7</f>
        <v>20447.539999999997</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5907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36" t="s">
        <v>1544</v>
      </c>
      <c r="L53" s="3237"/>
      <c r="O53" s="1887" t="s">
        <v>1043</v>
      </c>
      <c r="P53" s="1888" t="s">
        <v>1545</v>
      </c>
      <c r="Q53" s="1889">
        <f ca="1">Q47+Q48</f>
        <v>23324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8436</v>
      </c>
      <c r="D56" s="1917"/>
      <c r="E56" s="1918"/>
      <c r="F56" s="1910"/>
      <c r="I56" s="1919" t="s">
        <v>1550</v>
      </c>
      <c r="J56" s="1920" t="s">
        <v>3287</v>
      </c>
      <c r="K56" s="1890" t="s">
        <v>1551</v>
      </c>
      <c r="L56" s="1893" t="str">
        <f ca="1">IF(L48&lt;J51,"——",L48-J53)</f>
        <v>——</v>
      </c>
      <c r="O56" s="1887" t="s">
        <v>1037</v>
      </c>
      <c r="P56" s="1888" t="s">
        <v>1524</v>
      </c>
      <c r="Q56" s="1889">
        <f ca="1">C40+J29</f>
        <v>23324</v>
      </c>
      <c r="R56" s="1889" t="s">
        <v>1525</v>
      </c>
    </row>
    <row r="57" spans="1:18" s="1845" customFormat="1" ht="24.75" thickBot="1">
      <c r="A57" s="1921"/>
      <c r="B57" s="1172" t="s">
        <v>1474</v>
      </c>
      <c r="C57" s="282">
        <f ca="1">C29</f>
        <v>8697</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894</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750.7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730.55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20.170000000000002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23324</v>
      </c>
      <c r="R62" s="1889" t="s">
        <v>1044</v>
      </c>
    </row>
    <row r="63" spans="1:18" s="1845" customFormat="1" ht="13.5" thickBot="1">
      <c r="A63" s="372"/>
      <c r="B63" s="1178"/>
      <c r="C63" s="29"/>
      <c r="D63" s="1188"/>
      <c r="E63" s="1172" t="s">
        <v>1495</v>
      </c>
      <c r="F63" s="348">
        <f t="shared" ca="1" si="0"/>
        <v>40347.69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130.5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12.7</v>
      </c>
      <c r="D65" s="1186" t="s">
        <v>1450</v>
      </c>
      <c r="E65" s="1172" t="s">
        <v>1451</v>
      </c>
      <c r="F65" s="376">
        <f t="shared" ca="1" si="0"/>
        <v>1.5E-3</v>
      </c>
      <c r="I65" s="1932" t="s">
        <v>1575</v>
      </c>
      <c r="J65" s="1933">
        <v>40</v>
      </c>
      <c r="K65" s="1933">
        <v>30</v>
      </c>
      <c r="L65" s="1933">
        <v>50</v>
      </c>
      <c r="M65" s="1935">
        <v>0.02</v>
      </c>
      <c r="O65" s="1887" t="s">
        <v>1037</v>
      </c>
      <c r="P65" s="1888" t="s">
        <v>1576</v>
      </c>
      <c r="Q65" s="1889">
        <f ca="1">C40+J29</f>
        <v>23324</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-894</v>
      </c>
      <c r="D67" s="1185" t="s">
        <v>1460</v>
      </c>
      <c r="E67" s="1190"/>
      <c r="F67" s="1191"/>
      <c r="O67" s="1897" t="s">
        <v>1039</v>
      </c>
      <c r="P67" s="1888" t="s">
        <v>1558</v>
      </c>
      <c r="Q67" s="1936">
        <f ca="1">L51</f>
        <v>5907</v>
      </c>
      <c r="R67" s="1889" t="s">
        <v>1578</v>
      </c>
    </row>
    <row r="68" spans="1:18" s="1845" customFormat="1" ht="16.5" thickBot="1">
      <c r="A68" s="1169" t="s">
        <v>1029</v>
      </c>
      <c r="B68" s="1170" t="s">
        <v>1481</v>
      </c>
      <c r="C68" s="346">
        <f ca="1">ROUND(C67*(1-((1+F70)/(1+F68))^F69)/(F68-F70),0)</f>
        <v>-13678</v>
      </c>
      <c r="D68" s="1187" t="s">
        <v>1465</v>
      </c>
      <c r="E68" s="1172" t="s">
        <v>1466</v>
      </c>
      <c r="F68" s="357">
        <f ca="1">F40</f>
        <v>5.5E-2</v>
      </c>
      <c r="O68" s="1897" t="s">
        <v>1040</v>
      </c>
      <c r="P68" s="1937" t="s">
        <v>1579</v>
      </c>
      <c r="Q68" s="1889">
        <f ca="1">ROUND(Q69-Q70*Q71,0)</f>
        <v>363</v>
      </c>
      <c r="R68" s="1889" t="s">
        <v>1048</v>
      </c>
    </row>
    <row r="69" spans="1:18" s="1845" customFormat="1" ht="13.5" thickBot="1">
      <c r="A69" s="1173"/>
      <c r="B69" s="1174"/>
      <c r="C69" s="351"/>
      <c r="D69" s="1192" t="s">
        <v>1469</v>
      </c>
      <c r="E69" s="1172" t="s">
        <v>1470</v>
      </c>
      <c r="F69" s="379">
        <f ca="1">F41</f>
        <v>34.4</v>
      </c>
      <c r="O69" s="1897" t="s">
        <v>1045</v>
      </c>
      <c r="P69" s="1937" t="s">
        <v>1580</v>
      </c>
      <c r="Q69" s="1889">
        <f ca="1">C39</f>
        <v>1038</v>
      </c>
      <c r="R69" s="1889" t="s">
        <v>1525</v>
      </c>
    </row>
    <row r="70" spans="1:18" s="1845" customFormat="1" ht="13.5" thickBot="1">
      <c r="A70" s="1176"/>
      <c r="B70" s="1177"/>
      <c r="C70" s="355"/>
      <c r="D70" s="1188"/>
      <c r="E70" s="1172" t="s">
        <v>1473</v>
      </c>
      <c r="F70" s="1278"/>
      <c r="O70" s="1897" t="s">
        <v>1046</v>
      </c>
      <c r="P70" s="1937" t="s">
        <v>1581</v>
      </c>
      <c r="Q70" s="1889">
        <f ca="1">C13</f>
        <v>8436</v>
      </c>
      <c r="R70" s="1889" t="s">
        <v>1525</v>
      </c>
    </row>
    <row r="71" spans="1:18" s="1845" customFormat="1" ht="13.5" thickBot="1">
      <c r="A71" s="1193" t="s">
        <v>1030</v>
      </c>
      <c r="B71" s="1194" t="s">
        <v>1483</v>
      </c>
      <c r="C71" s="382">
        <f ca="1">ROUND(C68*10000/F71,0)</f>
        <v>-6689</v>
      </c>
      <c r="D71" s="1195" t="s">
        <v>1484</v>
      </c>
      <c r="E71" s="1196" t="s">
        <v>1485</v>
      </c>
      <c r="F71" s="385">
        <f ca="1">F43</f>
        <v>20447.539999999997</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675</v>
      </c>
      <c r="D75" s="1845"/>
      <c r="E75" s="1845"/>
      <c r="F75" s="1845"/>
      <c r="K75" s="1871"/>
      <c r="L75" s="1845"/>
      <c r="O75" s="1887" t="s">
        <v>1043</v>
      </c>
      <c r="P75" s="1888" t="s">
        <v>1545</v>
      </c>
      <c r="Q75" s="1889">
        <f ca="1">Q65+Q66</f>
        <v>23324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0.35</v>
      </c>
    </row>
    <row r="80" spans="1:18">
      <c r="B80" s="386" t="s">
        <v>1507</v>
      </c>
      <c r="C80" s="318">
        <f ca="1">ROUND(C75/C39,3)</f>
        <v>0.65</v>
      </c>
    </row>
    <row r="81" spans="2:3">
      <c r="B81" s="314" t="s">
        <v>1508</v>
      </c>
      <c r="C81" s="282"/>
    </row>
    <row r="82" spans="2:3">
      <c r="B82" s="317" t="s">
        <v>1509</v>
      </c>
      <c r="C82" s="319">
        <f ca="1">1-C83</f>
        <v>0.63800000000000001</v>
      </c>
    </row>
    <row r="83" spans="2:3">
      <c r="B83" s="317" t="s">
        <v>1510</v>
      </c>
      <c r="C83" s="318">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38" t="s">
        <v>1399</v>
      </c>
      <c r="C6" s="1299">
        <f ca="1">ROUND(F6*F8*F7*(1-F9),0)</f>
        <v>0</v>
      </c>
      <c r="D6" s="164" t="s">
        <v>3029</v>
      </c>
      <c r="E6" s="347" t="s">
        <v>1401</v>
      </c>
      <c r="F6" s="348">
        <f ca="1">INDIRECT("'数据-取费表'!u"&amp;$G$1)</f>
        <v>0</v>
      </c>
      <c r="G6" s="1854"/>
      <c r="H6" s="1294" t="s">
        <v>1032</v>
      </c>
      <c r="I6" s="3238" t="s">
        <v>1399</v>
      </c>
      <c r="J6" s="346">
        <f ca="1">ROUND(M6*M8*M7*(1-M9),0)</f>
        <v>0</v>
      </c>
      <c r="K6" s="1837" t="s">
        <v>3030</v>
      </c>
      <c r="L6" s="347" t="s">
        <v>1401</v>
      </c>
      <c r="M6" s="348">
        <f ca="1">INDIRECT("'数据-取费表'!z"&amp;$G$1)</f>
        <v>0</v>
      </c>
    </row>
    <row r="7" spans="1:37" ht="18" customHeight="1">
      <c r="A7" s="1298"/>
      <c r="B7" s="3239"/>
      <c r="C7" s="1300"/>
      <c r="D7" s="352"/>
      <c r="E7" s="1301" t="s">
        <v>1402</v>
      </c>
      <c r="F7" s="348">
        <f ca="1">IF(INDIRECT("'数据-取费表'!ah"&amp;$G$1)="",INDIRECT("'数据-取费表'!k"&amp;$G$1),INDIRECT("'数据-取费表'!ah"&amp;$G$1))</f>
        <v>0</v>
      </c>
      <c r="G7" s="1854"/>
      <c r="H7" s="349"/>
      <c r="I7" s="3239"/>
      <c r="J7" s="351"/>
      <c r="K7" s="352"/>
      <c r="L7" s="347" t="s">
        <v>1402</v>
      </c>
      <c r="M7" s="348">
        <f ca="1">F7</f>
        <v>0</v>
      </c>
    </row>
    <row r="8" spans="1:37" ht="18" customHeight="1">
      <c r="A8" s="349"/>
      <c r="B8" s="3239"/>
      <c r="C8" s="351"/>
      <c r="D8" s="352"/>
      <c r="E8" s="347" t="s">
        <v>1403</v>
      </c>
      <c r="F8" s="348">
        <f ca="1">INDIRECT("'数据-取费表'!ai"&amp;$G$1)</f>
        <v>0</v>
      </c>
      <c r="G8" s="1854"/>
      <c r="H8" s="349"/>
      <c r="I8" s="3239"/>
      <c r="J8" s="351"/>
      <c r="K8" s="352"/>
      <c r="L8" s="347" t="s">
        <v>1403</v>
      </c>
      <c r="M8" s="348">
        <f ca="1">INDIRECT("'数据-取费表'!ai"&amp;$G$1)</f>
        <v>0</v>
      </c>
    </row>
    <row r="9" spans="1:37" ht="18" customHeight="1">
      <c r="A9" s="349"/>
      <c r="B9" s="3240"/>
      <c r="C9" s="351"/>
      <c r="D9" s="352"/>
      <c r="E9" s="347" t="s">
        <v>1404</v>
      </c>
      <c r="F9" s="357">
        <f ca="1">INDIRECT("'数据-取费表'!w"&amp;$G$1)</f>
        <v>0</v>
      </c>
      <c r="G9" s="1854"/>
      <c r="H9" s="349"/>
      <c r="I9" s="32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36" t="s">
        <v>1544</v>
      </c>
      <c r="L53" s="3237"/>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41" t="s">
        <v>1073</v>
      </c>
      <c r="B1" s="3242"/>
      <c r="C1" s="3243"/>
      <c r="D1" s="3244">
        <f>SUM(I10,I15,I20,I21,I23)</f>
        <v>0</v>
      </c>
      <c r="E1" s="3244"/>
      <c r="F1" s="3244"/>
      <c r="G1" s="3244"/>
      <c r="H1" s="3244"/>
      <c r="I1" s="3245"/>
    </row>
    <row r="2" spans="1:9">
      <c r="A2" s="3246" t="s">
        <v>1074</v>
      </c>
      <c r="B2" s="3247" t="s">
        <v>1075</v>
      </c>
      <c r="C2" s="3247"/>
      <c r="D2" s="1304" t="s">
        <v>1076</v>
      </c>
      <c r="E2" s="1304" t="s">
        <v>1077</v>
      </c>
      <c r="F2" s="1304" t="s">
        <v>1078</v>
      </c>
      <c r="G2" s="1304" t="s">
        <v>1079</v>
      </c>
      <c r="H2" s="1304" t="s">
        <v>1080</v>
      </c>
      <c r="I2" s="1305" t="s">
        <v>1081</v>
      </c>
    </row>
    <row r="3" spans="1:9">
      <c r="A3" s="3246"/>
      <c r="B3" s="3247" t="s">
        <v>1082</v>
      </c>
      <c r="C3" s="3247"/>
      <c r="D3" s="1306"/>
      <c r="E3" s="1304"/>
      <c r="F3" s="1307"/>
      <c r="G3" s="1307"/>
      <c r="H3" s="1308"/>
      <c r="I3" s="1309">
        <f>ROUND(D3*E3*F3*G3*H3/10000,0)</f>
        <v>0</v>
      </c>
    </row>
    <row r="4" spans="1:9">
      <c r="A4" s="3246"/>
      <c r="B4" s="3247" t="s">
        <v>1083</v>
      </c>
      <c r="C4" s="3247"/>
      <c r="D4" s="1306"/>
      <c r="E4" s="1304"/>
      <c r="F4" s="1307"/>
      <c r="G4" s="1307"/>
      <c r="H4" s="1308"/>
      <c r="I4" s="1309">
        <f t="shared" ref="I4:I9" si="0">ROUND(D4*E4*F4*G4*H4/10000,0)</f>
        <v>0</v>
      </c>
    </row>
    <row r="5" spans="1:9">
      <c r="A5" s="3246"/>
      <c r="B5" s="3247" t="s">
        <v>1084</v>
      </c>
      <c r="C5" s="3247"/>
      <c r="D5" s="1306"/>
      <c r="E5" s="1304"/>
      <c r="F5" s="1307"/>
      <c r="G5" s="1307"/>
      <c r="H5" s="1308"/>
      <c r="I5" s="1309">
        <f t="shared" si="0"/>
        <v>0</v>
      </c>
    </row>
    <row r="6" spans="1:9">
      <c r="A6" s="3246"/>
      <c r="B6" s="3247" t="s">
        <v>1085</v>
      </c>
      <c r="C6" s="3247"/>
      <c r="D6" s="1306"/>
      <c r="E6" s="1304"/>
      <c r="F6" s="1307"/>
      <c r="G6" s="1307"/>
      <c r="H6" s="1308"/>
      <c r="I6" s="1309">
        <f t="shared" si="0"/>
        <v>0</v>
      </c>
    </row>
    <row r="7" spans="1:9">
      <c r="A7" s="3246"/>
      <c r="B7" s="3247" t="s">
        <v>1086</v>
      </c>
      <c r="C7" s="3247"/>
      <c r="D7" s="1306"/>
      <c r="E7" s="1304"/>
      <c r="F7" s="1307"/>
      <c r="G7" s="1307"/>
      <c r="H7" s="1308"/>
      <c r="I7" s="1309">
        <f t="shared" si="0"/>
        <v>0</v>
      </c>
    </row>
    <row r="8" spans="1:9">
      <c r="A8" s="3246"/>
      <c r="B8" s="3247" t="s">
        <v>1087</v>
      </c>
      <c r="C8" s="3247"/>
      <c r="D8" s="1306"/>
      <c r="E8" s="1304"/>
      <c r="F8" s="1307"/>
      <c r="G8" s="1307"/>
      <c r="H8" s="1308"/>
      <c r="I8" s="1309">
        <f t="shared" si="0"/>
        <v>0</v>
      </c>
    </row>
    <row r="9" spans="1:9">
      <c r="A9" s="3246"/>
      <c r="B9" s="3247" t="s">
        <v>1088</v>
      </c>
      <c r="C9" s="3247"/>
      <c r="D9" s="1306"/>
      <c r="E9" s="1304"/>
      <c r="F9" s="1307"/>
      <c r="G9" s="1307"/>
      <c r="H9" s="1308"/>
      <c r="I9" s="1309">
        <f t="shared" si="0"/>
        <v>0</v>
      </c>
    </row>
    <row r="10" spans="1:9">
      <c r="A10" s="3246"/>
      <c r="B10" s="3248" t="s">
        <v>1089</v>
      </c>
      <c r="C10" s="3248"/>
      <c r="D10" s="1310"/>
      <c r="E10" s="1310" t="e">
        <f>ROUND(D1*10000/D10/H9,0)</f>
        <v>#DIV/0!</v>
      </c>
      <c r="F10" s="1311"/>
      <c r="G10" s="1311"/>
      <c r="H10" s="1312"/>
      <c r="I10" s="1313">
        <f>SUM(I3:I9)</f>
        <v>0</v>
      </c>
    </row>
    <row r="11" spans="1:9" ht="14.25">
      <c r="A11" s="3246" t="s">
        <v>1090</v>
      </c>
      <c r="B11" s="3247" t="s">
        <v>1091</v>
      </c>
      <c r="C11" s="3247"/>
      <c r="D11" s="1306" t="s">
        <v>1092</v>
      </c>
      <c r="E11" s="1306" t="s">
        <v>1093</v>
      </c>
      <c r="F11" s="1307" t="s">
        <v>1094</v>
      </c>
      <c r="G11" s="1307" t="s">
        <v>1080</v>
      </c>
      <c r="H11" s="1314" t="s">
        <v>1095</v>
      </c>
      <c r="I11" s="1305" t="s">
        <v>1081</v>
      </c>
    </row>
    <row r="12" spans="1:9">
      <c r="A12" s="3246"/>
      <c r="B12" s="3247" t="s">
        <v>1096</v>
      </c>
      <c r="C12" s="3247"/>
      <c r="D12" s="1306"/>
      <c r="E12" s="1306"/>
      <c r="F12" s="1307"/>
      <c r="G12" s="1308"/>
      <c r="H12" s="1315"/>
      <c r="I12" s="1305">
        <f>ROUND(D12*E12*F12*G12/10000,0)</f>
        <v>0</v>
      </c>
    </row>
    <row r="13" spans="1:9">
      <c r="A13" s="3246"/>
      <c r="B13" s="3247" t="s">
        <v>1097</v>
      </c>
      <c r="C13" s="3247"/>
      <c r="D13" s="1306"/>
      <c r="E13" s="1306"/>
      <c r="F13" s="1307"/>
      <c r="G13" s="1308"/>
      <c r="H13" s="1315"/>
      <c r="I13" s="1305">
        <f>ROUND(D13*E13*F13*G13/10000,0)</f>
        <v>0</v>
      </c>
    </row>
    <row r="14" spans="1:9">
      <c r="A14" s="3246"/>
      <c r="B14" s="3247" t="s">
        <v>1098</v>
      </c>
      <c r="C14" s="3247"/>
      <c r="D14" s="1306"/>
      <c r="E14" s="1306"/>
      <c r="F14" s="1307"/>
      <c r="G14" s="1308"/>
      <c r="H14" s="1315"/>
      <c r="I14" s="1305">
        <f>ROUND(D14*E14*F14*G14/10000,0)</f>
        <v>0</v>
      </c>
    </row>
    <row r="15" spans="1:9">
      <c r="A15" s="3246"/>
      <c r="B15" s="3248" t="s">
        <v>1089</v>
      </c>
      <c r="C15" s="3248"/>
      <c r="D15" s="1310"/>
      <c r="E15" s="1310">
        <f>SUM(E12:E14)</f>
        <v>0</v>
      </c>
      <c r="F15" s="1311"/>
      <c r="G15" s="1308"/>
      <c r="H15" s="1315"/>
      <c r="I15" s="1316">
        <f>SUM(I12:I14)</f>
        <v>0</v>
      </c>
    </row>
    <row r="16" spans="1:9" ht="24">
      <c r="A16" s="3246" t="s">
        <v>1099</v>
      </c>
      <c r="B16" s="3247" t="s">
        <v>1100</v>
      </c>
      <c r="C16" s="3247"/>
      <c r="D16" s="1306" t="s">
        <v>1076</v>
      </c>
      <c r="E16" s="1317" t="s">
        <v>1101</v>
      </c>
      <c r="F16" s="1307" t="s">
        <v>1102</v>
      </c>
      <c r="G16" s="1308" t="s">
        <v>1080</v>
      </c>
      <c r="H16" s="1314" t="s">
        <v>1095</v>
      </c>
      <c r="I16" s="1305" t="s">
        <v>1081</v>
      </c>
    </row>
    <row r="17" spans="1:9" ht="14.25">
      <c r="A17" s="3246"/>
      <c r="B17" s="3247" t="s">
        <v>1103</v>
      </c>
      <c r="C17" s="3247"/>
      <c r="D17" s="1306"/>
      <c r="E17" s="1306"/>
      <c r="F17" s="1307"/>
      <c r="G17" s="1308"/>
      <c r="H17" s="1318"/>
      <c r="I17" s="1319">
        <f>ROUND(D17*E17*F17*G17/10000,0)</f>
        <v>0</v>
      </c>
    </row>
    <row r="18" spans="1:9" ht="14.25">
      <c r="A18" s="3246"/>
      <c r="B18" s="3247" t="s">
        <v>1104</v>
      </c>
      <c r="C18" s="3247"/>
      <c r="D18" s="1306"/>
      <c r="E18" s="1306"/>
      <c r="F18" s="1307"/>
      <c r="G18" s="1308"/>
      <c r="H18" s="1318"/>
      <c r="I18" s="1319">
        <f>ROUND(D18*E18*F18*G18/10000,0)</f>
        <v>0</v>
      </c>
    </row>
    <row r="19" spans="1:9" ht="14.25">
      <c r="A19" s="3246"/>
      <c r="B19" s="3247" t="s">
        <v>1105</v>
      </c>
      <c r="C19" s="3247"/>
      <c r="D19" s="1306"/>
      <c r="E19" s="1306"/>
      <c r="F19" s="1307"/>
      <c r="G19" s="1308"/>
      <c r="H19" s="1318"/>
      <c r="I19" s="1319">
        <f>ROUND(D19*E19*F19*G19/10000,0)</f>
        <v>0</v>
      </c>
    </row>
    <row r="20" spans="1:9">
      <c r="A20" s="3246"/>
      <c r="B20" s="3248" t="s">
        <v>1089</v>
      </c>
      <c r="C20" s="3248"/>
      <c r="D20" s="1310">
        <f>SUM(D17:D19)</f>
        <v>0</v>
      </c>
      <c r="E20" s="1310"/>
      <c r="F20" s="1311"/>
      <c r="G20" s="1308"/>
      <c r="H20" s="1315"/>
      <c r="I20" s="1316">
        <f>SUM(I17:I19)</f>
        <v>0</v>
      </c>
    </row>
    <row r="21" spans="1:9">
      <c r="A21" s="3246" t="s">
        <v>1106</v>
      </c>
      <c r="B21" s="3250"/>
      <c r="C21" s="3250"/>
      <c r="D21" s="3250"/>
      <c r="E21" s="3250"/>
      <c r="F21" s="3250"/>
      <c r="G21" s="3250"/>
      <c r="H21" s="1768">
        <v>0.1</v>
      </c>
      <c r="I21" s="1313">
        <f>ROUND(I10*H21,0)</f>
        <v>0</v>
      </c>
    </row>
    <row r="22" spans="1:9" ht="14.25">
      <c r="A22" s="3251" t="s">
        <v>1107</v>
      </c>
      <c r="B22" s="3252"/>
      <c r="C22" s="3253"/>
      <c r="D22" s="1320" t="s">
        <v>1108</v>
      </c>
      <c r="E22" s="1320" t="s">
        <v>1109</v>
      </c>
      <c r="F22" s="1321" t="s">
        <v>1110</v>
      </c>
      <c r="G22" s="1321" t="s">
        <v>1111</v>
      </c>
      <c r="H22" s="1314" t="s">
        <v>1112</v>
      </c>
      <c r="I22" s="1305" t="s">
        <v>1113</v>
      </c>
    </row>
    <row r="23" spans="1:9" ht="14.25" thickBot="1">
      <c r="A23" s="3254"/>
      <c r="B23" s="3255"/>
      <c r="C23" s="3256"/>
      <c r="D23" s="1322"/>
      <c r="E23" s="1322"/>
      <c r="F23" s="1322"/>
      <c r="G23" s="1323"/>
      <c r="H23" s="1324"/>
      <c r="I23" s="1325">
        <f>ROUND(E23*D23*F23*(1-G23)/10000,0)</f>
        <v>0</v>
      </c>
    </row>
    <row r="26" spans="1:9">
      <c r="A26" s="1326" t="s">
        <v>1114</v>
      </c>
      <c r="B26" s="1326"/>
      <c r="C26" s="1326"/>
      <c r="D26" s="1326"/>
      <c r="E26" s="3257">
        <f>C27-C30-C31-C32</f>
        <v>0</v>
      </c>
      <c r="F26" s="3257"/>
      <c r="G26" s="3257"/>
      <c r="H26" s="1740" t="s">
        <v>1336</v>
      </c>
    </row>
    <row r="27" spans="1:9">
      <c r="A27" s="1327">
        <v>1</v>
      </c>
      <c r="B27" s="1328" t="s">
        <v>1115</v>
      </c>
      <c r="C27" s="1328">
        <f>C28+C29</f>
        <v>0</v>
      </c>
      <c r="D27" s="1328"/>
      <c r="E27" s="3258"/>
      <c r="F27" s="3258"/>
      <c r="G27" s="3258"/>
    </row>
    <row r="28" spans="1:9">
      <c r="A28" s="1329" t="s">
        <v>1116</v>
      </c>
      <c r="B28" s="1328" t="s">
        <v>1117</v>
      </c>
      <c r="C28" s="1328"/>
      <c r="D28" s="1328"/>
      <c r="E28" s="3258"/>
      <c r="F28" s="3258"/>
      <c r="G28" s="3258"/>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49"/>
      <c r="F32" s="3249"/>
      <c r="G32" s="3249"/>
    </row>
    <row r="33" spans="1:7" hidden="1">
      <c r="A33" s="3259" t="s">
        <v>1126</v>
      </c>
      <c r="B33" s="3260"/>
      <c r="C33" s="3260"/>
      <c r="D33" s="3261"/>
      <c r="E33" s="3257"/>
      <c r="F33" s="3257"/>
      <c r="G33" s="3257"/>
    </row>
    <row r="34" spans="1:7" hidden="1">
      <c r="A34" s="1331">
        <v>1</v>
      </c>
      <c r="B34" s="1328" t="s">
        <v>1127</v>
      </c>
      <c r="C34" s="1328"/>
      <c r="D34" s="1328"/>
      <c r="E34" s="3258"/>
      <c r="F34" s="3258"/>
      <c r="G34" s="3258"/>
    </row>
    <row r="35" spans="1:7" hidden="1">
      <c r="A35" s="1331">
        <v>2</v>
      </c>
      <c r="B35" s="1328" t="s">
        <v>1128</v>
      </c>
      <c r="C35" s="1328"/>
      <c r="D35" s="1328"/>
      <c r="E35" s="3258"/>
      <c r="F35" s="3258"/>
      <c r="G35" s="3258"/>
    </row>
    <row r="36" spans="1:7" hidden="1">
      <c r="A36" s="1331">
        <v>3</v>
      </c>
      <c r="B36" s="1328" t="s">
        <v>1129</v>
      </c>
      <c r="C36" s="1328"/>
      <c r="D36" s="1328"/>
      <c r="E36" s="3258"/>
      <c r="F36" s="3258"/>
      <c r="G36" s="3258"/>
    </row>
    <row r="37" spans="1:7" hidden="1">
      <c r="A37" s="1331">
        <v>4</v>
      </c>
      <c r="B37" s="1328" t="s">
        <v>1130</v>
      </c>
      <c r="C37" s="1328"/>
      <c r="D37" s="1328"/>
      <c r="E37" s="3258"/>
      <c r="F37" s="3258"/>
      <c r="G37" s="3258"/>
    </row>
    <row r="38" spans="1:7" hidden="1">
      <c r="A38" s="3259" t="s">
        <v>1131</v>
      </c>
      <c r="B38" s="3260"/>
      <c r="C38" s="3260"/>
      <c r="D38" s="3261"/>
      <c r="E38" s="3257"/>
      <c r="F38" s="3257"/>
      <c r="G38" s="32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20447.539999999997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80" t="s">
        <v>2535</v>
      </c>
      <c r="D4" s="3281"/>
      <c r="E4" s="3282" t="s">
        <v>2536</v>
      </c>
      <c r="F4" s="3283"/>
      <c r="G4" s="3280" t="s">
        <v>2537</v>
      </c>
      <c r="H4" s="3281"/>
      <c r="I4" s="3280" t="s">
        <v>2538</v>
      </c>
      <c r="J4" s="3281"/>
      <c r="K4" s="2601" t="s">
        <v>2539</v>
      </c>
      <c r="L4" s="1133"/>
      <c r="M4" s="1134"/>
      <c r="N4" s="1134"/>
      <c r="O4" s="1134"/>
      <c r="P4" s="3284" t="s">
        <v>2540</v>
      </c>
      <c r="Q4" s="3285"/>
      <c r="R4" s="3267" t="s">
        <v>2536</v>
      </c>
      <c r="S4" s="3268"/>
      <c r="T4" s="3267" t="s">
        <v>2537</v>
      </c>
      <c r="U4" s="3268"/>
      <c r="V4" s="3292" t="s">
        <v>2538</v>
      </c>
      <c r="W4" s="3292"/>
      <c r="X4" s="1816"/>
      <c r="Y4" s="3267" t="s">
        <v>2540</v>
      </c>
      <c r="Z4" s="3268"/>
      <c r="AA4" s="3262" t="s">
        <v>2536</v>
      </c>
      <c r="AB4" s="3262" t="s">
        <v>2537</v>
      </c>
      <c r="AC4" s="3262" t="s">
        <v>2538</v>
      </c>
    </row>
    <row r="5" spans="1:29" ht="15">
      <c r="A5" s="404"/>
      <c r="B5" s="405"/>
      <c r="C5" s="3273" t="s">
        <v>2541</v>
      </c>
      <c r="D5" s="3274"/>
      <c r="E5" s="3271" t="s">
        <v>2542</v>
      </c>
      <c r="F5" s="3272"/>
      <c r="G5" s="3273" t="s">
        <v>2543</v>
      </c>
      <c r="H5" s="3274"/>
      <c r="I5" s="3273" t="s">
        <v>2544</v>
      </c>
      <c r="J5" s="3274"/>
      <c r="K5" s="2602"/>
      <c r="L5" s="1133"/>
      <c r="M5" s="1134"/>
      <c r="N5" s="1134"/>
      <c r="O5" s="1134"/>
      <c r="P5" s="3286"/>
      <c r="Q5" s="3287"/>
      <c r="R5" s="3269"/>
      <c r="S5" s="3270"/>
      <c r="T5" s="3269"/>
      <c r="U5" s="3270"/>
      <c r="V5" s="3292"/>
      <c r="W5" s="3292"/>
      <c r="X5" s="1816"/>
      <c r="Y5" s="3269"/>
      <c r="Z5" s="3270"/>
      <c r="AA5" s="3263"/>
      <c r="AB5" s="3263"/>
      <c r="AC5" s="3263"/>
    </row>
    <row r="6" spans="1:29" ht="15.75" thickBot="1">
      <c r="A6" s="406"/>
      <c r="B6" s="407"/>
      <c r="C6" s="3275" t="s">
        <v>2545</v>
      </c>
      <c r="D6" s="3276"/>
      <c r="E6" s="3277" t="s">
        <v>2545</v>
      </c>
      <c r="F6" s="3278"/>
      <c r="G6" s="3275" t="s">
        <v>2545</v>
      </c>
      <c r="H6" s="3276"/>
      <c r="I6" s="3275" t="s">
        <v>2545</v>
      </c>
      <c r="J6" s="3276"/>
      <c r="K6" s="2602" t="s">
        <v>2546</v>
      </c>
      <c r="L6" s="1133"/>
      <c r="M6" s="1134"/>
      <c r="N6" s="1134"/>
      <c r="O6" s="1134"/>
      <c r="P6" s="3288"/>
      <c r="Q6" s="3289"/>
      <c r="R6" s="3269"/>
      <c r="S6" s="3270"/>
      <c r="T6" s="3290"/>
      <c r="U6" s="3291"/>
      <c r="V6" s="3292"/>
      <c r="W6" s="3292"/>
      <c r="X6" s="1816"/>
      <c r="Y6" s="3290"/>
      <c r="Z6" s="3291"/>
      <c r="AA6" s="3264"/>
      <c r="AB6" s="3264"/>
      <c r="AC6" s="3264"/>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65" t="s">
        <v>2548</v>
      </c>
      <c r="Q7" s="3293"/>
      <c r="R7" s="770" t="s">
        <v>23</v>
      </c>
      <c r="S7" s="771">
        <f t="shared" ref="S7:S15" si="0">F7</f>
        <v>0</v>
      </c>
      <c r="T7" s="770" t="s">
        <v>23</v>
      </c>
      <c r="U7" s="771">
        <f t="shared" ref="U7:U15" si="1">H7</f>
        <v>0</v>
      </c>
      <c r="V7" s="770" t="s">
        <v>23</v>
      </c>
      <c r="W7" s="771">
        <f t="shared" ref="W7:W15" si="2">J7</f>
        <v>0</v>
      </c>
      <c r="X7" s="772"/>
      <c r="Y7" s="3265" t="s">
        <v>2548</v>
      </c>
      <c r="Z7" s="3266"/>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65" t="s">
        <v>2551</v>
      </c>
      <c r="Q8" s="3266"/>
      <c r="R8" s="770" t="s">
        <v>23</v>
      </c>
      <c r="S8" s="771">
        <f t="shared" si="0"/>
        <v>0</v>
      </c>
      <c r="T8" s="770" t="s">
        <v>23</v>
      </c>
      <c r="U8" s="771">
        <f t="shared" si="1"/>
        <v>0</v>
      </c>
      <c r="V8" s="770" t="s">
        <v>23</v>
      </c>
      <c r="W8" s="771">
        <f t="shared" si="2"/>
        <v>0</v>
      </c>
      <c r="X8" s="772"/>
      <c r="Y8" s="3265" t="s">
        <v>2551</v>
      </c>
      <c r="Z8" s="326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79" t="s">
        <v>2554</v>
      </c>
      <c r="Q9" s="1798" t="str">
        <f t="shared" ref="Q9:Q15" si="6">B9</f>
        <v>用途</v>
      </c>
      <c r="R9" s="770" t="s">
        <v>17</v>
      </c>
      <c r="S9" s="771">
        <f t="shared" si="0"/>
        <v>100</v>
      </c>
      <c r="T9" s="770" t="s">
        <v>17</v>
      </c>
      <c r="U9" s="771">
        <f t="shared" si="1"/>
        <v>100</v>
      </c>
      <c r="V9" s="770" t="s">
        <v>17</v>
      </c>
      <c r="W9" s="771">
        <f t="shared" si="2"/>
        <v>100</v>
      </c>
      <c r="X9" s="772"/>
      <c r="Y9" s="310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9"/>
      <c r="Q10" s="1798"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9"/>
      <c r="Q11" s="1798" t="str">
        <f t="shared" si="6"/>
        <v>容积率</v>
      </c>
      <c r="R11" s="770" t="s">
        <v>21</v>
      </c>
      <c r="S11" s="771" t="e">
        <f t="shared" si="0"/>
        <v>#N/A</v>
      </c>
      <c r="T11" s="770" t="s">
        <v>21</v>
      </c>
      <c r="U11" s="771" t="e">
        <f t="shared" si="1"/>
        <v>#N/A</v>
      </c>
      <c r="V11" s="770" t="s">
        <v>21</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79"/>
      <c r="Q12" s="1798">
        <f t="shared" si="6"/>
        <v>111</v>
      </c>
      <c r="R12" s="770" t="s">
        <v>21</v>
      </c>
      <c r="S12" s="771">
        <f t="shared" si="0"/>
        <v>100</v>
      </c>
      <c r="T12" s="770" t="s">
        <v>21</v>
      </c>
      <c r="U12" s="771">
        <f t="shared" si="1"/>
        <v>100</v>
      </c>
      <c r="V12" s="770" t="s">
        <v>21</v>
      </c>
      <c r="W12" s="771">
        <f t="shared" si="2"/>
        <v>100</v>
      </c>
      <c r="X12" s="772"/>
      <c r="Y12" s="310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79"/>
      <c r="Q13" s="1798">
        <f t="shared" si="6"/>
        <v>111</v>
      </c>
      <c r="R13" s="770" t="s">
        <v>21</v>
      </c>
      <c r="S13" s="771">
        <f t="shared" si="0"/>
        <v>100</v>
      </c>
      <c r="T13" s="770" t="s">
        <v>21</v>
      </c>
      <c r="U13" s="771">
        <f t="shared" si="1"/>
        <v>100</v>
      </c>
      <c r="V13" s="770" t="s">
        <v>21</v>
      </c>
      <c r="W13" s="771">
        <f t="shared" si="2"/>
        <v>100</v>
      </c>
      <c r="X13" s="772"/>
      <c r="Y13" s="3101"/>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79"/>
      <c r="Q14" s="1798">
        <f t="shared" si="6"/>
        <v>111</v>
      </c>
      <c r="R14" s="770" t="s">
        <v>21</v>
      </c>
      <c r="S14" s="771">
        <f t="shared" si="0"/>
        <v>100</v>
      </c>
      <c r="T14" s="770" t="s">
        <v>21</v>
      </c>
      <c r="U14" s="771">
        <f t="shared" si="1"/>
        <v>100</v>
      </c>
      <c r="V14" s="770" t="s">
        <v>21</v>
      </c>
      <c r="W14" s="771">
        <f t="shared" si="2"/>
        <v>100</v>
      </c>
      <c r="X14" s="772"/>
      <c r="Y14" s="3101"/>
      <c r="Z14" s="55">
        <f t="shared" si="7"/>
        <v>111</v>
      </c>
      <c r="AA14" s="773">
        <f t="shared" si="3"/>
        <v>1</v>
      </c>
      <c r="AB14" s="773">
        <f t="shared" si="4"/>
        <v>1</v>
      </c>
      <c r="AC14" s="773">
        <f t="shared" si="5"/>
        <v>1</v>
      </c>
    </row>
    <row r="15" spans="1:29" ht="99.75">
      <c r="A15" s="440" t="s">
        <v>2558</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6" t="s">
        <v>2559</v>
      </c>
      <c r="Q15" s="1813" t="str">
        <f t="shared" si="6"/>
        <v>居住社区成熟度</v>
      </c>
      <c r="R15" s="774" t="s">
        <v>21</v>
      </c>
      <c r="S15" s="775">
        <f t="shared" si="0"/>
        <v>100</v>
      </c>
      <c r="T15" s="774" t="s">
        <v>21</v>
      </c>
      <c r="U15" s="775">
        <f t="shared" si="1"/>
        <v>100</v>
      </c>
      <c r="V15" s="774" t="s">
        <v>21</v>
      </c>
      <c r="W15" s="775">
        <f t="shared" si="2"/>
        <v>100</v>
      </c>
      <c r="X15" s="1816"/>
      <c r="Y15" s="3299"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307"/>
      <c r="Q16" s="1813"/>
      <c r="R16" s="774"/>
      <c r="S16" s="775"/>
      <c r="T16" s="774"/>
      <c r="U16" s="775"/>
      <c r="V16" s="774"/>
      <c r="W16" s="775"/>
      <c r="X16" s="1816"/>
      <c r="Y16" s="3300"/>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7"/>
      <c r="Q17" s="1813" t="str">
        <f>B17</f>
        <v>交通便捷度</v>
      </c>
      <c r="R17" s="774" t="s">
        <v>21</v>
      </c>
      <c r="S17" s="775">
        <f>F17</f>
        <v>100</v>
      </c>
      <c r="T17" s="774" t="s">
        <v>21</v>
      </c>
      <c r="U17" s="775">
        <f>H17</f>
        <v>100</v>
      </c>
      <c r="V17" s="774" t="s">
        <v>21</v>
      </c>
      <c r="W17" s="775">
        <f>J17</f>
        <v>100</v>
      </c>
      <c r="X17" s="1816"/>
      <c r="Y17" s="3300"/>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307"/>
      <c r="Q18" s="1813"/>
      <c r="R18" s="774"/>
      <c r="S18" s="775"/>
      <c r="T18" s="774"/>
      <c r="U18" s="775"/>
      <c r="V18" s="774"/>
      <c r="W18" s="775"/>
      <c r="X18" s="1816"/>
      <c r="Y18" s="3300"/>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7"/>
      <c r="Q19" s="1813" t="str">
        <f>B19</f>
        <v>公共配套设施</v>
      </c>
      <c r="R19" s="774" t="s">
        <v>21</v>
      </c>
      <c r="S19" s="775">
        <f>F19</f>
        <v>100</v>
      </c>
      <c r="T19" s="774" t="s">
        <v>21</v>
      </c>
      <c r="U19" s="775">
        <f>H19</f>
        <v>100</v>
      </c>
      <c r="V19" s="774" t="s">
        <v>21</v>
      </c>
      <c r="W19" s="775">
        <f>J19</f>
        <v>100</v>
      </c>
      <c r="X19" s="1816"/>
      <c r="Y19" s="3300"/>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307"/>
      <c r="Q20" s="1813"/>
      <c r="R20" s="774"/>
      <c r="S20" s="775"/>
      <c r="T20" s="774"/>
      <c r="U20" s="775"/>
      <c r="V20" s="774"/>
      <c r="W20" s="775"/>
      <c r="X20" s="1816"/>
      <c r="Y20" s="3300"/>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7"/>
      <c r="Q21" s="1813" t="str">
        <f>B21</f>
        <v>基础设施水平</v>
      </c>
      <c r="R21" s="774" t="s">
        <v>17</v>
      </c>
      <c r="S21" s="775">
        <f>F21</f>
        <v>100</v>
      </c>
      <c r="T21" s="774" t="s">
        <v>17</v>
      </c>
      <c r="U21" s="775">
        <f>H21</f>
        <v>100</v>
      </c>
      <c r="V21" s="774" t="s">
        <v>17</v>
      </c>
      <c r="W21" s="775">
        <f>J21</f>
        <v>100</v>
      </c>
      <c r="X21" s="1816"/>
      <c r="Y21" s="3300"/>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307"/>
      <c r="Q22" s="1813"/>
      <c r="R22" s="774"/>
      <c r="S22" s="775"/>
      <c r="T22" s="774"/>
      <c r="U22" s="775"/>
      <c r="V22" s="774"/>
      <c r="W22" s="775"/>
      <c r="X22" s="1816"/>
      <c r="Y22" s="3300"/>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7"/>
      <c r="Q23" s="1813" t="str">
        <f>B23</f>
        <v>自然及人文环境</v>
      </c>
      <c r="R23" s="774" t="s">
        <v>21</v>
      </c>
      <c r="S23" s="775">
        <f>F23</f>
        <v>100</v>
      </c>
      <c r="T23" s="774" t="s">
        <v>21</v>
      </c>
      <c r="U23" s="775">
        <f>H23</f>
        <v>100</v>
      </c>
      <c r="V23" s="774" t="s">
        <v>21</v>
      </c>
      <c r="W23" s="775">
        <f>J23</f>
        <v>100</v>
      </c>
      <c r="X23" s="1816"/>
      <c r="Y23" s="3300"/>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307"/>
      <c r="Q24" s="1813"/>
      <c r="R24" s="774"/>
      <c r="S24" s="775"/>
      <c r="T24" s="774"/>
      <c r="U24" s="775"/>
      <c r="V24" s="774"/>
      <c r="W24" s="775"/>
      <c r="X24" s="1816"/>
      <c r="Y24" s="3300"/>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30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300"/>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307"/>
      <c r="Q26" s="1813" t="str">
        <f t="shared" si="11"/>
        <v>朝向</v>
      </c>
      <c r="R26" s="774" t="s">
        <v>21</v>
      </c>
      <c r="S26" s="775">
        <f t="shared" si="12"/>
        <v>100</v>
      </c>
      <c r="T26" s="774" t="s">
        <v>21</v>
      </c>
      <c r="U26" s="775">
        <f t="shared" si="13"/>
        <v>100</v>
      </c>
      <c r="V26" s="774" t="s">
        <v>21</v>
      </c>
      <c r="W26" s="775">
        <f t="shared" si="14"/>
        <v>100</v>
      </c>
      <c r="X26" s="1816"/>
      <c r="Y26" s="330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307"/>
      <c r="Q27" s="1798">
        <f t="shared" si="11"/>
        <v>111</v>
      </c>
      <c r="R27" s="770" t="s">
        <v>21</v>
      </c>
      <c r="S27" s="771">
        <f t="shared" si="12"/>
        <v>100</v>
      </c>
      <c r="T27" s="770" t="s">
        <v>21</v>
      </c>
      <c r="U27" s="771">
        <f t="shared" si="13"/>
        <v>100</v>
      </c>
      <c r="V27" s="770" t="s">
        <v>21</v>
      </c>
      <c r="W27" s="771">
        <f t="shared" si="14"/>
        <v>100</v>
      </c>
      <c r="X27" s="772"/>
      <c r="Y27" s="330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307"/>
      <c r="Q28" s="1813">
        <f t="shared" si="11"/>
        <v>111</v>
      </c>
      <c r="R28" s="774" t="s">
        <v>21</v>
      </c>
      <c r="S28" s="775">
        <f t="shared" si="12"/>
        <v>100</v>
      </c>
      <c r="T28" s="774" t="s">
        <v>21</v>
      </c>
      <c r="U28" s="775">
        <f t="shared" si="13"/>
        <v>100</v>
      </c>
      <c r="V28" s="774" t="s">
        <v>21</v>
      </c>
      <c r="W28" s="775">
        <f t="shared" si="14"/>
        <v>100</v>
      </c>
      <c r="X28" s="1816"/>
      <c r="Y28" s="330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307"/>
      <c r="Q29" s="1813">
        <f t="shared" si="11"/>
        <v>111</v>
      </c>
      <c r="R29" s="774" t="s">
        <v>21</v>
      </c>
      <c r="S29" s="775">
        <f t="shared" si="12"/>
        <v>100</v>
      </c>
      <c r="T29" s="774" t="s">
        <v>21</v>
      </c>
      <c r="U29" s="775">
        <f t="shared" si="13"/>
        <v>100</v>
      </c>
      <c r="V29" s="774" t="s">
        <v>21</v>
      </c>
      <c r="W29" s="775">
        <f t="shared" si="14"/>
        <v>100</v>
      </c>
      <c r="X29" s="1816"/>
      <c r="Y29" s="330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307"/>
      <c r="Q30" s="1813">
        <f t="shared" si="11"/>
        <v>111</v>
      </c>
      <c r="R30" s="774" t="s">
        <v>21</v>
      </c>
      <c r="S30" s="775">
        <f t="shared" si="12"/>
        <v>100</v>
      </c>
      <c r="T30" s="774" t="s">
        <v>21</v>
      </c>
      <c r="U30" s="775">
        <f t="shared" si="13"/>
        <v>100</v>
      </c>
      <c r="V30" s="774" t="s">
        <v>21</v>
      </c>
      <c r="W30" s="775">
        <f t="shared" si="14"/>
        <v>100</v>
      </c>
      <c r="X30" s="1816"/>
      <c r="Y30" s="330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307"/>
      <c r="Q31" s="1813">
        <f t="shared" si="11"/>
        <v>111</v>
      </c>
      <c r="R31" s="774" t="s">
        <v>21</v>
      </c>
      <c r="S31" s="775">
        <f t="shared" si="12"/>
        <v>100</v>
      </c>
      <c r="T31" s="774" t="s">
        <v>21</v>
      </c>
      <c r="U31" s="775">
        <f t="shared" si="13"/>
        <v>100</v>
      </c>
      <c r="V31" s="774" t="s">
        <v>21</v>
      </c>
      <c r="W31" s="775">
        <f t="shared" si="14"/>
        <v>100</v>
      </c>
      <c r="X31" s="1816"/>
      <c r="Y31" s="3300"/>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301" t="s">
        <v>2564</v>
      </c>
      <c r="Q32" s="1813" t="str">
        <f t="shared" si="11"/>
        <v>建筑类型</v>
      </c>
      <c r="R32" s="774" t="s">
        <v>21</v>
      </c>
      <c r="S32" s="775">
        <f t="shared" si="12"/>
        <v>100</v>
      </c>
      <c r="T32" s="774" t="s">
        <v>21</v>
      </c>
      <c r="U32" s="775">
        <f t="shared" si="13"/>
        <v>100</v>
      </c>
      <c r="V32" s="774" t="s">
        <v>21</v>
      </c>
      <c r="W32" s="775">
        <f t="shared" si="14"/>
        <v>100</v>
      </c>
      <c r="X32" s="1816"/>
      <c r="Y32" s="3304"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302"/>
      <c r="Q33" s="776" t="str">
        <f t="shared" si="11"/>
        <v>项目建筑规模</v>
      </c>
      <c r="R33" s="777" t="s">
        <v>21</v>
      </c>
      <c r="S33" s="778" t="e">
        <f t="shared" si="12"/>
        <v>#N/A</v>
      </c>
      <c r="T33" s="777" t="s">
        <v>21</v>
      </c>
      <c r="U33" s="778" t="e">
        <f t="shared" si="13"/>
        <v>#N/A</v>
      </c>
      <c r="V33" s="777" t="s">
        <v>21</v>
      </c>
      <c r="W33" s="778" t="e">
        <f t="shared" si="14"/>
        <v>#N/A</v>
      </c>
      <c r="X33" s="779"/>
      <c r="Y33" s="3304"/>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302"/>
      <c r="Q34" s="1813" t="str">
        <f t="shared" si="11"/>
        <v>建筑结构</v>
      </c>
      <c r="R34" s="774" t="s">
        <v>21</v>
      </c>
      <c r="S34" s="775">
        <f t="shared" si="12"/>
        <v>100</v>
      </c>
      <c r="T34" s="774" t="s">
        <v>21</v>
      </c>
      <c r="U34" s="775">
        <f t="shared" si="13"/>
        <v>100</v>
      </c>
      <c r="V34" s="774" t="s">
        <v>21</v>
      </c>
      <c r="W34" s="775">
        <f t="shared" si="14"/>
        <v>100</v>
      </c>
      <c r="X34" s="1816"/>
      <c r="Y34" s="3304"/>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302"/>
      <c r="Q35" s="1813" t="str">
        <f t="shared" si="11"/>
        <v>建筑品质</v>
      </c>
      <c r="R35" s="774" t="s">
        <v>21</v>
      </c>
      <c r="S35" s="775">
        <f t="shared" si="12"/>
        <v>100</v>
      </c>
      <c r="T35" s="774" t="s">
        <v>21</v>
      </c>
      <c r="U35" s="775">
        <f t="shared" si="13"/>
        <v>100</v>
      </c>
      <c r="V35" s="774" t="s">
        <v>21</v>
      </c>
      <c r="W35" s="775">
        <f t="shared" si="14"/>
        <v>100</v>
      </c>
      <c r="X35" s="1816"/>
      <c r="Y35" s="3304"/>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302"/>
      <c r="Q36" s="1813" t="str">
        <f t="shared" si="11"/>
        <v>公共部分装修</v>
      </c>
      <c r="R36" s="774" t="s">
        <v>21</v>
      </c>
      <c r="S36" s="775">
        <f t="shared" si="12"/>
        <v>100</v>
      </c>
      <c r="T36" s="774" t="s">
        <v>21</v>
      </c>
      <c r="U36" s="775">
        <f t="shared" si="13"/>
        <v>100</v>
      </c>
      <c r="V36" s="774" t="s">
        <v>21</v>
      </c>
      <c r="W36" s="775">
        <f t="shared" si="14"/>
        <v>100</v>
      </c>
      <c r="X36" s="1816"/>
      <c r="Y36" s="3304"/>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2"/>
      <c r="Q37" s="1798" t="str">
        <f t="shared" si="11"/>
        <v>成新度</v>
      </c>
      <c r="R37" s="770" t="s">
        <v>21</v>
      </c>
      <c r="S37" s="771" t="e">
        <f t="shared" si="12"/>
        <v>#N/A</v>
      </c>
      <c r="T37" s="770" t="s">
        <v>21</v>
      </c>
      <c r="U37" s="771" t="e">
        <f t="shared" si="13"/>
        <v>#N/A</v>
      </c>
      <c r="V37" s="770" t="s">
        <v>21</v>
      </c>
      <c r="W37" s="771" t="e">
        <f t="shared" si="14"/>
        <v>#N/A</v>
      </c>
      <c r="X37" s="772"/>
      <c r="Y37" s="3304"/>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302" t="s">
        <v>2564</v>
      </c>
      <c r="Q38" s="1813" t="str">
        <f t="shared" si="11"/>
        <v>物业管理</v>
      </c>
      <c r="R38" s="774" t="s">
        <v>21</v>
      </c>
      <c r="S38" s="775">
        <f t="shared" si="12"/>
        <v>100</v>
      </c>
      <c r="T38" s="774" t="s">
        <v>21</v>
      </c>
      <c r="U38" s="775">
        <f t="shared" si="13"/>
        <v>100</v>
      </c>
      <c r="V38" s="774" t="s">
        <v>21</v>
      </c>
      <c r="W38" s="775">
        <f t="shared" si="14"/>
        <v>100</v>
      </c>
      <c r="X38" s="1816"/>
      <c r="Y38" s="3304"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302"/>
      <c r="Q39" s="1813" t="str">
        <f t="shared" si="11"/>
        <v>市政基础设施</v>
      </c>
      <c r="R39" s="774" t="s">
        <v>21</v>
      </c>
      <c r="S39" s="775">
        <f t="shared" si="12"/>
        <v>100</v>
      </c>
      <c r="T39" s="774" t="s">
        <v>21</v>
      </c>
      <c r="U39" s="775">
        <f t="shared" si="13"/>
        <v>100</v>
      </c>
      <c r="V39" s="774" t="s">
        <v>21</v>
      </c>
      <c r="W39" s="775">
        <f t="shared" si="14"/>
        <v>100</v>
      </c>
      <c r="X39" s="1816"/>
      <c r="Y39" s="3304"/>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302"/>
      <c r="Q40" s="1813" t="str">
        <f t="shared" si="11"/>
        <v>房型</v>
      </c>
      <c r="R40" s="774" t="s">
        <v>21</v>
      </c>
      <c r="S40" s="775">
        <f t="shared" si="12"/>
        <v>100</v>
      </c>
      <c r="T40" s="774" t="s">
        <v>21</v>
      </c>
      <c r="U40" s="775">
        <f t="shared" si="13"/>
        <v>100</v>
      </c>
      <c r="V40" s="774" t="s">
        <v>21</v>
      </c>
      <c r="W40" s="775">
        <f t="shared" si="14"/>
        <v>100</v>
      </c>
      <c r="X40" s="1816"/>
      <c r="Y40" s="3304"/>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302"/>
      <c r="Q41" s="776" t="str">
        <f t="shared" si="11"/>
        <v>单套/主力户型建筑面积</v>
      </c>
      <c r="R41" s="777" t="s">
        <v>21</v>
      </c>
      <c r="S41" s="778">
        <f t="shared" si="12"/>
        <v>100</v>
      </c>
      <c r="T41" s="777" t="s">
        <v>21</v>
      </c>
      <c r="U41" s="778">
        <f t="shared" si="13"/>
        <v>100</v>
      </c>
      <c r="V41" s="777" t="s">
        <v>21</v>
      </c>
      <c r="W41" s="778">
        <f t="shared" si="14"/>
        <v>100</v>
      </c>
      <c r="X41" s="779"/>
      <c r="Y41" s="3304"/>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302"/>
      <c r="Q42" s="1813" t="str">
        <f t="shared" si="11"/>
        <v>内部装修</v>
      </c>
      <c r="R42" s="774" t="s">
        <v>21</v>
      </c>
      <c r="S42" s="775">
        <f t="shared" si="12"/>
        <v>100</v>
      </c>
      <c r="T42" s="774" t="s">
        <v>21</v>
      </c>
      <c r="U42" s="775">
        <f t="shared" si="13"/>
        <v>100</v>
      </c>
      <c r="V42" s="774" t="s">
        <v>21</v>
      </c>
      <c r="W42" s="775">
        <f t="shared" si="14"/>
        <v>100</v>
      </c>
      <c r="X42" s="1816"/>
      <c r="Y42" s="3304"/>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302"/>
      <c r="Q43" s="1813" t="str">
        <f t="shared" si="11"/>
        <v>内部装修维护情况</v>
      </c>
      <c r="R43" s="774" t="s">
        <v>21</v>
      </c>
      <c r="S43" s="775">
        <f t="shared" si="12"/>
        <v>100</v>
      </c>
      <c r="T43" s="774" t="s">
        <v>21</v>
      </c>
      <c r="U43" s="775">
        <f t="shared" si="13"/>
        <v>100</v>
      </c>
      <c r="V43" s="774" t="s">
        <v>21</v>
      </c>
      <c r="W43" s="775">
        <f t="shared" si="14"/>
        <v>100</v>
      </c>
      <c r="X43" s="1816"/>
      <c r="Y43" s="330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302"/>
      <c r="Q44" s="1798">
        <f t="shared" si="11"/>
        <v>111</v>
      </c>
      <c r="R44" s="770" t="s">
        <v>21</v>
      </c>
      <c r="S44" s="771">
        <f t="shared" si="12"/>
        <v>100</v>
      </c>
      <c r="T44" s="770" t="s">
        <v>21</v>
      </c>
      <c r="U44" s="771">
        <f t="shared" si="13"/>
        <v>100</v>
      </c>
      <c r="V44" s="770" t="s">
        <v>21</v>
      </c>
      <c r="W44" s="771">
        <f t="shared" si="14"/>
        <v>100</v>
      </c>
      <c r="X44" s="772"/>
      <c r="Y44" s="330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302"/>
      <c r="Q45" s="1813">
        <f t="shared" si="11"/>
        <v>111</v>
      </c>
      <c r="R45" s="774" t="s">
        <v>21</v>
      </c>
      <c r="S45" s="775">
        <f t="shared" si="12"/>
        <v>100</v>
      </c>
      <c r="T45" s="774" t="s">
        <v>21</v>
      </c>
      <c r="U45" s="775">
        <f t="shared" si="13"/>
        <v>100</v>
      </c>
      <c r="V45" s="774" t="s">
        <v>21</v>
      </c>
      <c r="W45" s="775">
        <f t="shared" si="14"/>
        <v>100</v>
      </c>
      <c r="X45" s="1816"/>
      <c r="Y45" s="3304"/>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303"/>
      <c r="Q46" s="1813">
        <f t="shared" si="11"/>
        <v>111</v>
      </c>
      <c r="R46" s="774" t="s">
        <v>20</v>
      </c>
      <c r="S46" s="775">
        <f t="shared" si="12"/>
        <v>100</v>
      </c>
      <c r="T46" s="774" t="s">
        <v>20</v>
      </c>
      <c r="U46" s="775">
        <f t="shared" si="13"/>
        <v>100</v>
      </c>
      <c r="V46" s="774" t="s">
        <v>20</v>
      </c>
      <c r="W46" s="775">
        <f t="shared" si="14"/>
        <v>100</v>
      </c>
      <c r="X46" s="1816"/>
      <c r="Y46" s="3305"/>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97" t="str">
        <f>A47</f>
        <v>成交单价（元/平方米）</v>
      </c>
      <c r="Q47" s="3297"/>
      <c r="R47" s="3298">
        <f>E47</f>
        <v>0</v>
      </c>
      <c r="S47" s="3298"/>
      <c r="T47" s="3298">
        <f>G47</f>
        <v>0</v>
      </c>
      <c r="U47" s="3298"/>
      <c r="V47" s="3298">
        <f>I47</f>
        <v>0</v>
      </c>
      <c r="W47" s="3298"/>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94" t="str">
        <f>A49</f>
        <v>估价对象XX用房的比较价值（楼面单价，元/平方米）</v>
      </c>
      <c r="Q49" s="3295"/>
      <c r="R49" s="3296" t="e">
        <f>IF(F1="售价",ROUND(AVERAGE(R48:V48),0),ROUND(AVERAGE(R48:V48),1))</f>
        <v>#DIV/0!</v>
      </c>
      <c r="S49" s="3296"/>
      <c r="T49" s="3296"/>
      <c r="U49" s="3296"/>
      <c r="V49" s="3296"/>
      <c r="W49" s="32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67" t="s">
        <v>2646</v>
      </c>
      <c r="S4" s="3268"/>
      <c r="T4" s="3267" t="s">
        <v>2647</v>
      </c>
      <c r="U4" s="3268"/>
      <c r="V4" s="3292" t="s">
        <v>2648</v>
      </c>
      <c r="W4" s="3292"/>
      <c r="X4" s="1816"/>
      <c r="Y4" s="3267" t="s">
        <v>2650</v>
      </c>
      <c r="Z4" s="3268"/>
      <c r="AA4" s="3262" t="s">
        <v>2646</v>
      </c>
      <c r="AB4" s="3292" t="s">
        <v>2647</v>
      </c>
      <c r="AC4" s="3262" t="s">
        <v>2648</v>
      </c>
    </row>
    <row r="5" spans="1:29" ht="15">
      <c r="A5" s="404"/>
      <c r="B5" s="405"/>
      <c r="C5" s="3273" t="s">
        <v>2541</v>
      </c>
      <c r="D5" s="3274"/>
      <c r="E5" s="3271" t="s">
        <v>2542</v>
      </c>
      <c r="F5" s="3272"/>
      <c r="G5" s="3273" t="s">
        <v>2543</v>
      </c>
      <c r="H5" s="3274"/>
      <c r="I5" s="3273" t="s">
        <v>2544</v>
      </c>
      <c r="J5" s="3274"/>
      <c r="K5" s="610"/>
      <c r="L5" s="1133"/>
      <c r="M5" s="1134"/>
      <c r="N5" s="1134"/>
      <c r="O5" s="1134"/>
      <c r="P5" s="3286"/>
      <c r="Q5" s="3287"/>
      <c r="R5" s="3269"/>
      <c r="S5" s="3270"/>
      <c r="T5" s="3269"/>
      <c r="U5" s="3270"/>
      <c r="V5" s="3292"/>
      <c r="W5" s="3292"/>
      <c r="X5" s="1816"/>
      <c r="Y5" s="3269"/>
      <c r="Z5" s="3270"/>
      <c r="AA5" s="3263"/>
      <c r="AB5" s="3292"/>
      <c r="AC5" s="3263"/>
    </row>
    <row r="6" spans="1:29" ht="15.75" thickBot="1">
      <c r="A6" s="406"/>
      <c r="B6" s="407"/>
      <c r="C6" s="3275" t="s">
        <v>2545</v>
      </c>
      <c r="D6" s="3276"/>
      <c r="E6" s="3277" t="s">
        <v>2545</v>
      </c>
      <c r="F6" s="3278"/>
      <c r="G6" s="3275" t="s">
        <v>2545</v>
      </c>
      <c r="H6" s="3276"/>
      <c r="I6" s="3275" t="s">
        <v>2545</v>
      </c>
      <c r="J6" s="3276"/>
      <c r="K6" s="610" t="s">
        <v>2546</v>
      </c>
      <c r="L6" s="1133"/>
      <c r="M6" s="1134"/>
      <c r="N6" s="1134"/>
      <c r="O6" s="1134"/>
      <c r="P6" s="3288"/>
      <c r="Q6" s="3289"/>
      <c r="R6" s="3269"/>
      <c r="S6" s="3270"/>
      <c r="T6" s="3290"/>
      <c r="U6" s="3291"/>
      <c r="V6" s="3292"/>
      <c r="W6" s="3292"/>
      <c r="X6" s="1816"/>
      <c r="Y6" s="3290"/>
      <c r="Z6" s="3291"/>
      <c r="AA6" s="3264"/>
      <c r="AB6" s="3292"/>
      <c r="AC6" s="3264"/>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5" t="s">
        <v>2548</v>
      </c>
      <c r="Q7" s="3293"/>
      <c r="R7" s="770" t="s">
        <v>17</v>
      </c>
      <c r="S7" s="771">
        <f t="shared" ref="S7:S15" si="0">F7</f>
        <v>0</v>
      </c>
      <c r="T7" s="770" t="s">
        <v>17</v>
      </c>
      <c r="U7" s="771">
        <f t="shared" ref="U7:U15" si="1">H7</f>
        <v>0</v>
      </c>
      <c r="V7" s="770" t="s">
        <v>17</v>
      </c>
      <c r="W7" s="771">
        <f t="shared" ref="W7:W15" si="2">J7</f>
        <v>0</v>
      </c>
      <c r="X7" s="772"/>
      <c r="Y7" s="3265" t="s">
        <v>2548</v>
      </c>
      <c r="Z7" s="326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5" t="s">
        <v>2551</v>
      </c>
      <c r="Q8" s="3266"/>
      <c r="R8" s="770" t="s">
        <v>17</v>
      </c>
      <c r="S8" s="771">
        <f t="shared" si="0"/>
        <v>0</v>
      </c>
      <c r="T8" s="770" t="s">
        <v>17</v>
      </c>
      <c r="U8" s="771">
        <f t="shared" si="1"/>
        <v>0</v>
      </c>
      <c r="V8" s="770" t="s">
        <v>17</v>
      </c>
      <c r="W8" s="771">
        <f t="shared" si="2"/>
        <v>0</v>
      </c>
      <c r="X8" s="772"/>
      <c r="Y8" s="3265" t="s">
        <v>2551</v>
      </c>
      <c r="Z8" s="326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9" t="s">
        <v>2554</v>
      </c>
      <c r="Q9" s="1798" t="str">
        <f t="shared" ref="Q9:Q15" si="6">B9</f>
        <v>用途</v>
      </c>
      <c r="R9" s="770" t="s">
        <v>17</v>
      </c>
      <c r="S9" s="771">
        <f t="shared" si="0"/>
        <v>100</v>
      </c>
      <c r="T9" s="770" t="s">
        <v>17</v>
      </c>
      <c r="U9" s="771">
        <f t="shared" si="1"/>
        <v>100</v>
      </c>
      <c r="V9" s="770" t="s">
        <v>17</v>
      </c>
      <c r="W9" s="771">
        <f t="shared" si="2"/>
        <v>100</v>
      </c>
      <c r="X9" s="772"/>
      <c r="Y9" s="310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9"/>
      <c r="Q10" s="1798"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9"/>
      <c r="Q11" s="1798"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9"/>
      <c r="Q12" s="1798">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9"/>
      <c r="Q13" s="1798">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9"/>
      <c r="Q14" s="1798">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6" t="s">
        <v>2559</v>
      </c>
      <c r="Q15" s="1813" t="str">
        <f t="shared" si="6"/>
        <v>商业繁华度</v>
      </c>
      <c r="R15" s="774" t="s">
        <v>17</v>
      </c>
      <c r="S15" s="775">
        <f t="shared" si="0"/>
        <v>100</v>
      </c>
      <c r="T15" s="774" t="s">
        <v>17</v>
      </c>
      <c r="U15" s="775">
        <f t="shared" si="1"/>
        <v>100</v>
      </c>
      <c r="V15" s="774" t="s">
        <v>17</v>
      </c>
      <c r="W15" s="775">
        <f t="shared" si="2"/>
        <v>100</v>
      </c>
      <c r="X15" s="1816"/>
      <c r="Y15" s="3299"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7"/>
      <c r="Q16" s="1813"/>
      <c r="R16" s="774"/>
      <c r="S16" s="775"/>
      <c r="T16" s="774"/>
      <c r="U16" s="775"/>
      <c r="V16" s="774"/>
      <c r="W16" s="775"/>
      <c r="X16" s="1816"/>
      <c r="Y16" s="3300"/>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7"/>
      <c r="Q17" s="1813" t="str">
        <f>B17</f>
        <v>交通便捷度</v>
      </c>
      <c r="R17" s="774" t="s">
        <v>17</v>
      </c>
      <c r="S17" s="775">
        <f>F17</f>
        <v>100</v>
      </c>
      <c r="T17" s="774" t="s">
        <v>17</v>
      </c>
      <c r="U17" s="775">
        <f>H17</f>
        <v>100</v>
      </c>
      <c r="V17" s="774" t="s">
        <v>17</v>
      </c>
      <c r="W17" s="775">
        <f>J17</f>
        <v>100</v>
      </c>
      <c r="X17" s="1816"/>
      <c r="Y17" s="3300"/>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307"/>
      <c r="Q18" s="1813"/>
      <c r="R18" s="774"/>
      <c r="S18" s="775"/>
      <c r="T18" s="774"/>
      <c r="U18" s="775"/>
      <c r="V18" s="774"/>
      <c r="W18" s="775"/>
      <c r="X18" s="1816"/>
      <c r="Y18" s="3300"/>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7"/>
      <c r="Q19" s="1813" t="str">
        <f>B19</f>
        <v>公共配套设施</v>
      </c>
      <c r="R19" s="774" t="s">
        <v>17</v>
      </c>
      <c r="S19" s="775">
        <f>F19</f>
        <v>100</v>
      </c>
      <c r="T19" s="774" t="s">
        <v>17</v>
      </c>
      <c r="U19" s="775">
        <f>H19</f>
        <v>100</v>
      </c>
      <c r="V19" s="774" t="s">
        <v>17</v>
      </c>
      <c r="W19" s="775">
        <f>J19</f>
        <v>100</v>
      </c>
      <c r="X19" s="1816"/>
      <c r="Y19" s="3300"/>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307"/>
      <c r="Q20" s="1813"/>
      <c r="R20" s="774"/>
      <c r="S20" s="775"/>
      <c r="T20" s="774"/>
      <c r="U20" s="775"/>
      <c r="V20" s="774"/>
      <c r="W20" s="775"/>
      <c r="X20" s="1816"/>
      <c r="Y20" s="3300"/>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7"/>
      <c r="Q21" s="1813" t="str">
        <f>B21</f>
        <v>基础设施水平</v>
      </c>
      <c r="R21" s="774" t="s">
        <v>17</v>
      </c>
      <c r="S21" s="775">
        <f>F21</f>
        <v>100</v>
      </c>
      <c r="T21" s="774" t="s">
        <v>17</v>
      </c>
      <c r="U21" s="775">
        <f>H21</f>
        <v>100</v>
      </c>
      <c r="V21" s="774" t="s">
        <v>17</v>
      </c>
      <c r="W21" s="775">
        <f>J21</f>
        <v>100</v>
      </c>
      <c r="X21" s="1816"/>
      <c r="Y21" s="3300"/>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307"/>
      <c r="Q22" s="1813"/>
      <c r="R22" s="774"/>
      <c r="S22" s="775"/>
      <c r="T22" s="774"/>
      <c r="U22" s="775"/>
      <c r="V22" s="774"/>
      <c r="W22" s="775"/>
      <c r="X22" s="1816"/>
      <c r="Y22" s="3300"/>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7"/>
      <c r="Q23" s="1813" t="str">
        <f>B23</f>
        <v>自然及人文环境</v>
      </c>
      <c r="R23" s="774" t="s">
        <v>17</v>
      </c>
      <c r="S23" s="775">
        <f>F23</f>
        <v>100</v>
      </c>
      <c r="T23" s="774" t="s">
        <v>17</v>
      </c>
      <c r="U23" s="775">
        <f>H23</f>
        <v>100</v>
      </c>
      <c r="V23" s="774" t="s">
        <v>17</v>
      </c>
      <c r="W23" s="775">
        <f>J23</f>
        <v>100</v>
      </c>
      <c r="X23" s="1816"/>
      <c r="Y23" s="3300"/>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307"/>
      <c r="Q24" s="1813"/>
      <c r="R24" s="774"/>
      <c r="S24" s="775"/>
      <c r="T24" s="774"/>
      <c r="U24" s="775"/>
      <c r="V24" s="774"/>
      <c r="W24" s="775"/>
      <c r="X24" s="1816"/>
      <c r="Y24" s="3300"/>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7"/>
      <c r="Q25" s="1813" t="str">
        <f t="shared" ref="Q25:Q46" si="11">B25</f>
        <v>临街状况</v>
      </c>
      <c r="R25" s="774" t="s">
        <v>17</v>
      </c>
      <c r="S25" s="775">
        <f>F25</f>
        <v>100</v>
      </c>
      <c r="T25" s="774" t="s">
        <v>17</v>
      </c>
      <c r="U25" s="775">
        <f>H25</f>
        <v>100</v>
      </c>
      <c r="V25" s="774" t="s">
        <v>17</v>
      </c>
      <c r="W25" s="775">
        <f>J25</f>
        <v>100</v>
      </c>
      <c r="X25" s="1816"/>
      <c r="Y25" s="3300"/>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7"/>
      <c r="Q26" s="1813" t="str">
        <f t="shared" si="11"/>
        <v>平面位置/可视性</v>
      </c>
      <c r="R26" s="774" t="s">
        <v>17</v>
      </c>
      <c r="S26" s="775">
        <f>F26</f>
        <v>100</v>
      </c>
      <c r="T26" s="774" t="s">
        <v>17</v>
      </c>
      <c r="U26" s="775">
        <f>H26</f>
        <v>100</v>
      </c>
      <c r="V26" s="774" t="s">
        <v>17</v>
      </c>
      <c r="W26" s="775">
        <f>J26</f>
        <v>100</v>
      </c>
      <c r="X26" s="1816"/>
      <c r="Y26" s="3300"/>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307"/>
      <c r="Q27" s="1798" t="str">
        <f t="shared" si="11"/>
        <v>人流量</v>
      </c>
      <c r="R27" s="770" t="s">
        <v>17</v>
      </c>
      <c r="S27" s="771">
        <f>F27</f>
        <v>100</v>
      </c>
      <c r="T27" s="770" t="s">
        <v>17</v>
      </c>
      <c r="U27" s="771">
        <f>H27</f>
        <v>100</v>
      </c>
      <c r="V27" s="770" t="s">
        <v>17</v>
      </c>
      <c r="W27" s="771">
        <f>J27</f>
        <v>100</v>
      </c>
      <c r="X27" s="772"/>
      <c r="Y27" s="3300"/>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30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7"/>
      <c r="Q29" s="1813">
        <f t="shared" si="11"/>
        <v>111</v>
      </c>
      <c r="R29" s="774" t="s">
        <v>17</v>
      </c>
      <c r="S29" s="775">
        <f t="shared" si="12"/>
        <v>100</v>
      </c>
      <c r="T29" s="774" t="s">
        <v>17</v>
      </c>
      <c r="U29" s="775">
        <f t="shared" si="13"/>
        <v>100</v>
      </c>
      <c r="V29" s="774" t="s">
        <v>17</v>
      </c>
      <c r="W29" s="775">
        <f t="shared" si="14"/>
        <v>100</v>
      </c>
      <c r="X29" s="1816"/>
      <c r="Y29" s="330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7"/>
      <c r="Q30" s="1813">
        <f t="shared" si="11"/>
        <v>111</v>
      </c>
      <c r="R30" s="774" t="s">
        <v>17</v>
      </c>
      <c r="S30" s="775">
        <f t="shared" si="12"/>
        <v>100</v>
      </c>
      <c r="T30" s="774" t="s">
        <v>17</v>
      </c>
      <c r="U30" s="775">
        <f t="shared" si="13"/>
        <v>100</v>
      </c>
      <c r="V30" s="774" t="s">
        <v>17</v>
      </c>
      <c r="W30" s="775">
        <f t="shared" si="14"/>
        <v>100</v>
      </c>
      <c r="X30" s="1816"/>
      <c r="Y30" s="330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7"/>
      <c r="Q31" s="1813">
        <f t="shared" si="11"/>
        <v>111</v>
      </c>
      <c r="R31" s="774" t="s">
        <v>17</v>
      </c>
      <c r="S31" s="775">
        <f t="shared" si="12"/>
        <v>100</v>
      </c>
      <c r="T31" s="774" t="s">
        <v>17</v>
      </c>
      <c r="U31" s="775">
        <f t="shared" si="13"/>
        <v>100</v>
      </c>
      <c r="V31" s="774" t="s">
        <v>17</v>
      </c>
      <c r="W31" s="775">
        <f t="shared" si="14"/>
        <v>100</v>
      </c>
      <c r="X31" s="1816"/>
      <c r="Y31" s="3300"/>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301" t="s">
        <v>2564</v>
      </c>
      <c r="Q32" s="1813" t="str">
        <f t="shared" si="11"/>
        <v>商业类型</v>
      </c>
      <c r="R32" s="774" t="s">
        <v>17</v>
      </c>
      <c r="S32" s="775">
        <f t="shared" si="12"/>
        <v>100</v>
      </c>
      <c r="T32" s="774" t="s">
        <v>17</v>
      </c>
      <c r="U32" s="775">
        <f t="shared" si="13"/>
        <v>100</v>
      </c>
      <c r="V32" s="774" t="s">
        <v>17</v>
      </c>
      <c r="W32" s="775">
        <f t="shared" si="14"/>
        <v>100</v>
      </c>
      <c r="X32" s="1816"/>
      <c r="Y32" s="3304"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02"/>
      <c r="Q33" s="776" t="str">
        <f t="shared" si="11"/>
        <v>项目建筑规模</v>
      </c>
      <c r="R33" s="777" t="s">
        <v>17</v>
      </c>
      <c r="S33" s="778" t="e">
        <f t="shared" si="12"/>
        <v>#N/A</v>
      </c>
      <c r="T33" s="777" t="s">
        <v>17</v>
      </c>
      <c r="U33" s="778" t="e">
        <f t="shared" si="13"/>
        <v>#N/A</v>
      </c>
      <c r="V33" s="777" t="s">
        <v>17</v>
      </c>
      <c r="W33" s="778" t="e">
        <f t="shared" si="14"/>
        <v>#N/A</v>
      </c>
      <c r="X33" s="779"/>
      <c r="Y33" s="3304"/>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302"/>
      <c r="Q34" s="1813" t="str">
        <f t="shared" si="11"/>
        <v>建筑结构</v>
      </c>
      <c r="R34" s="774" t="s">
        <v>17</v>
      </c>
      <c r="S34" s="775">
        <f t="shared" si="12"/>
        <v>100</v>
      </c>
      <c r="T34" s="774" t="s">
        <v>17</v>
      </c>
      <c r="U34" s="775">
        <f t="shared" si="13"/>
        <v>100</v>
      </c>
      <c r="V34" s="774" t="s">
        <v>17</v>
      </c>
      <c r="W34" s="775">
        <f t="shared" si="14"/>
        <v>100</v>
      </c>
      <c r="X34" s="1816"/>
      <c r="Y34" s="3304"/>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302"/>
      <c r="Q35" s="1813" t="str">
        <f t="shared" si="11"/>
        <v>公共部分装修</v>
      </c>
      <c r="R35" s="774" t="s">
        <v>17</v>
      </c>
      <c r="S35" s="775">
        <f t="shared" si="12"/>
        <v>100</v>
      </c>
      <c r="T35" s="774" t="s">
        <v>17</v>
      </c>
      <c r="U35" s="775">
        <f t="shared" si="13"/>
        <v>100</v>
      </c>
      <c r="V35" s="774" t="s">
        <v>17</v>
      </c>
      <c r="W35" s="775">
        <f t="shared" si="14"/>
        <v>100</v>
      </c>
      <c r="X35" s="1816"/>
      <c r="Y35" s="3304"/>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2"/>
      <c r="Q36" s="1813" t="str">
        <f t="shared" si="11"/>
        <v>成新度</v>
      </c>
      <c r="R36" s="774" t="s">
        <v>17</v>
      </c>
      <c r="S36" s="775" t="e">
        <f t="shared" si="12"/>
        <v>#N/A</v>
      </c>
      <c r="T36" s="774" t="s">
        <v>17</v>
      </c>
      <c r="U36" s="775" t="e">
        <f t="shared" si="13"/>
        <v>#N/A</v>
      </c>
      <c r="V36" s="774" t="s">
        <v>17</v>
      </c>
      <c r="W36" s="775" t="e">
        <f t="shared" si="14"/>
        <v>#N/A</v>
      </c>
      <c r="X36" s="1816"/>
      <c r="Y36" s="3304"/>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302"/>
      <c r="Q37" s="1798" t="str">
        <f t="shared" si="11"/>
        <v>市政基础设施</v>
      </c>
      <c r="R37" s="770" t="s">
        <v>17</v>
      </c>
      <c r="S37" s="771">
        <f t="shared" si="12"/>
        <v>100</v>
      </c>
      <c r="T37" s="770" t="s">
        <v>17</v>
      </c>
      <c r="U37" s="771">
        <f t="shared" si="13"/>
        <v>100</v>
      </c>
      <c r="V37" s="770" t="s">
        <v>17</v>
      </c>
      <c r="W37" s="771">
        <f t="shared" si="14"/>
        <v>100</v>
      </c>
      <c r="X37" s="772"/>
      <c r="Y37" s="3304"/>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302" t="s">
        <v>2564</v>
      </c>
      <c r="Q38" s="1813" t="str">
        <f t="shared" si="11"/>
        <v>业态</v>
      </c>
      <c r="R38" s="774" t="s">
        <v>17</v>
      </c>
      <c r="S38" s="775">
        <f t="shared" si="12"/>
        <v>100</v>
      </c>
      <c r="T38" s="774" t="s">
        <v>17</v>
      </c>
      <c r="U38" s="775">
        <f t="shared" si="13"/>
        <v>100</v>
      </c>
      <c r="V38" s="774" t="s">
        <v>17</v>
      </c>
      <c r="W38" s="775">
        <f t="shared" si="14"/>
        <v>100</v>
      </c>
      <c r="X38" s="1816"/>
      <c r="Y38" s="3304"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302"/>
      <c r="Q39" s="1813" t="str">
        <f t="shared" si="11"/>
        <v>层高</v>
      </c>
      <c r="R39" s="774" t="s">
        <v>17</v>
      </c>
      <c r="S39" s="775">
        <f t="shared" si="12"/>
        <v>100</v>
      </c>
      <c r="T39" s="774" t="s">
        <v>17</v>
      </c>
      <c r="U39" s="775">
        <f t="shared" si="13"/>
        <v>100</v>
      </c>
      <c r="V39" s="774" t="s">
        <v>17</v>
      </c>
      <c r="W39" s="775">
        <f t="shared" si="14"/>
        <v>100</v>
      </c>
      <c r="X39" s="1816"/>
      <c r="Y39" s="3304"/>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2"/>
      <c r="Q40" s="1813" t="str">
        <f t="shared" si="11"/>
        <v>单套建筑面积</v>
      </c>
      <c r="R40" s="774" t="s">
        <v>17</v>
      </c>
      <c r="S40" s="775">
        <f t="shared" si="12"/>
        <v>100</v>
      </c>
      <c r="T40" s="774" t="s">
        <v>17</v>
      </c>
      <c r="U40" s="775">
        <f t="shared" si="13"/>
        <v>100</v>
      </c>
      <c r="V40" s="774" t="s">
        <v>17</v>
      </c>
      <c r="W40" s="775">
        <f t="shared" si="14"/>
        <v>100</v>
      </c>
      <c r="X40" s="1816"/>
      <c r="Y40" s="3304"/>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2"/>
      <c r="Q41" s="776" t="str">
        <f t="shared" si="11"/>
        <v>进深比</v>
      </c>
      <c r="R41" s="777" t="s">
        <v>17</v>
      </c>
      <c r="S41" s="778">
        <f t="shared" si="12"/>
        <v>100</v>
      </c>
      <c r="T41" s="777" t="s">
        <v>17</v>
      </c>
      <c r="U41" s="778">
        <f t="shared" si="13"/>
        <v>100</v>
      </c>
      <c r="V41" s="777" t="s">
        <v>17</v>
      </c>
      <c r="W41" s="778">
        <f t="shared" si="14"/>
        <v>100</v>
      </c>
      <c r="X41" s="779"/>
      <c r="Y41" s="3304"/>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302"/>
      <c r="Q42" s="1813" t="str">
        <f t="shared" si="11"/>
        <v>内部装修</v>
      </c>
      <c r="R42" s="774" t="s">
        <v>17</v>
      </c>
      <c r="S42" s="775">
        <f t="shared" si="12"/>
        <v>100</v>
      </c>
      <c r="T42" s="774" t="s">
        <v>17</v>
      </c>
      <c r="U42" s="775">
        <f t="shared" si="13"/>
        <v>100</v>
      </c>
      <c r="V42" s="774" t="s">
        <v>17</v>
      </c>
      <c r="W42" s="775">
        <f t="shared" si="14"/>
        <v>100</v>
      </c>
      <c r="X42" s="1816"/>
      <c r="Y42" s="3304"/>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302"/>
      <c r="Q43" s="1813" t="str">
        <f t="shared" si="11"/>
        <v>内部装修维护情况</v>
      </c>
      <c r="R43" s="774" t="s">
        <v>17</v>
      </c>
      <c r="S43" s="775">
        <f t="shared" si="12"/>
        <v>100</v>
      </c>
      <c r="T43" s="774" t="s">
        <v>17</v>
      </c>
      <c r="U43" s="775">
        <f t="shared" si="13"/>
        <v>100</v>
      </c>
      <c r="V43" s="774" t="s">
        <v>17</v>
      </c>
      <c r="W43" s="775">
        <f t="shared" si="14"/>
        <v>100</v>
      </c>
      <c r="X43" s="1816"/>
      <c r="Y43" s="330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2"/>
      <c r="Q44" s="1798">
        <f t="shared" si="11"/>
        <v>111</v>
      </c>
      <c r="R44" s="770" t="s">
        <v>17</v>
      </c>
      <c r="S44" s="771">
        <f t="shared" si="12"/>
        <v>100</v>
      </c>
      <c r="T44" s="770" t="s">
        <v>17</v>
      </c>
      <c r="U44" s="771">
        <f t="shared" si="13"/>
        <v>100</v>
      </c>
      <c r="V44" s="770" t="s">
        <v>17</v>
      </c>
      <c r="W44" s="771">
        <f t="shared" si="14"/>
        <v>100</v>
      </c>
      <c r="X44" s="772"/>
      <c r="Y44" s="330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2"/>
      <c r="Q45" s="1813">
        <f t="shared" si="11"/>
        <v>111</v>
      </c>
      <c r="R45" s="774" t="s">
        <v>17</v>
      </c>
      <c r="S45" s="775">
        <f t="shared" si="12"/>
        <v>100</v>
      </c>
      <c r="T45" s="774" t="s">
        <v>17</v>
      </c>
      <c r="U45" s="775">
        <f t="shared" si="13"/>
        <v>100</v>
      </c>
      <c r="V45" s="774" t="s">
        <v>17</v>
      </c>
      <c r="W45" s="775">
        <f t="shared" si="14"/>
        <v>100</v>
      </c>
      <c r="X45" s="1816"/>
      <c r="Y45" s="3304"/>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3"/>
      <c r="Q46" s="1813">
        <f t="shared" si="11"/>
        <v>111</v>
      </c>
      <c r="R46" s="774" t="s">
        <v>17</v>
      </c>
      <c r="S46" s="775">
        <f t="shared" si="12"/>
        <v>100</v>
      </c>
      <c r="T46" s="774" t="s">
        <v>17</v>
      </c>
      <c r="U46" s="775">
        <f t="shared" si="13"/>
        <v>100</v>
      </c>
      <c r="V46" s="774" t="s">
        <v>17</v>
      </c>
      <c r="W46" s="775">
        <f t="shared" si="14"/>
        <v>100</v>
      </c>
      <c r="X46" s="1816"/>
      <c r="Y46" s="3305"/>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97" t="str">
        <f>A47</f>
        <v>成交单价（元/平方米）</v>
      </c>
      <c r="Q47" s="3297"/>
      <c r="R47" s="3292">
        <f>E47</f>
        <v>0</v>
      </c>
      <c r="S47" s="3292"/>
      <c r="T47" s="3292">
        <f>G47</f>
        <v>0</v>
      </c>
      <c r="U47" s="3292"/>
      <c r="V47" s="3292">
        <f>I47</f>
        <v>0</v>
      </c>
      <c r="W47" s="3292"/>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94" t="str">
        <f>A49</f>
        <v>估价对象XX用房的比较价值（楼面单价，元/平方米）</v>
      </c>
      <c r="Q49" s="3295"/>
      <c r="R49" s="3296" t="e">
        <f>IF(F1="售价",ROUND(AVERAGE(R48:V48),0),ROUND(AVERAGE(R48:V48),1))</f>
        <v>#DIV/0!</v>
      </c>
      <c r="S49" s="3296"/>
      <c r="T49" s="3296"/>
      <c r="U49" s="3296"/>
      <c r="V49" s="3296"/>
      <c r="W49" s="32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估价对象为房地产，为所有。根据《国有土地使用证》[]，估价对象（分摊）出让国有建设用地使用权面积为40347.69平方米，建筑面积为20447.54平方米。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估价对象为房地产,属开发建设的，该项目尚在开发建设中。根据《国有土地使用证》[]，估价对象（分摊）出让国有建设用地使用权面积为40347.69平方米，规划建筑面积为20447.54平方米。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314" t="s">
        <v>2650</v>
      </c>
      <c r="Q4" s="3315"/>
      <c r="R4" s="3309" t="s">
        <v>2646</v>
      </c>
      <c r="S4" s="3310"/>
      <c r="T4" s="3309" t="s">
        <v>2647</v>
      </c>
      <c r="U4" s="3310"/>
      <c r="V4" s="3318" t="s">
        <v>2648</v>
      </c>
      <c r="W4" s="3318"/>
      <c r="X4" s="2675"/>
      <c r="Y4" s="3309" t="s">
        <v>2650</v>
      </c>
      <c r="Z4" s="3310"/>
      <c r="AA4" s="3308" t="s">
        <v>2646</v>
      </c>
      <c r="AB4" s="3308" t="s">
        <v>2647</v>
      </c>
      <c r="AC4" s="3311" t="s">
        <v>2648</v>
      </c>
    </row>
    <row r="5" spans="1:29" ht="15">
      <c r="A5" s="404"/>
      <c r="B5" s="405"/>
      <c r="C5" s="3273" t="s">
        <v>2541</v>
      </c>
      <c r="D5" s="3274"/>
      <c r="E5" s="3271" t="s">
        <v>2542</v>
      </c>
      <c r="F5" s="3272"/>
      <c r="G5" s="3273" t="s">
        <v>2543</v>
      </c>
      <c r="H5" s="3274"/>
      <c r="I5" s="3273" t="s">
        <v>2544</v>
      </c>
      <c r="J5" s="3274"/>
      <c r="K5" s="610"/>
      <c r="L5" s="1133"/>
      <c r="M5" s="1134"/>
      <c r="N5" s="1134"/>
      <c r="O5" s="1134"/>
      <c r="P5" s="3316"/>
      <c r="Q5" s="3287"/>
      <c r="R5" s="3269"/>
      <c r="S5" s="3270"/>
      <c r="T5" s="3269"/>
      <c r="U5" s="3270"/>
      <c r="V5" s="3292"/>
      <c r="W5" s="3292"/>
      <c r="X5" s="1816"/>
      <c r="Y5" s="3269"/>
      <c r="Z5" s="3270"/>
      <c r="AA5" s="3263"/>
      <c r="AB5" s="3263"/>
      <c r="AC5" s="3312"/>
    </row>
    <row r="6" spans="1:29" ht="15.75" thickBot="1">
      <c r="A6" s="406"/>
      <c r="B6" s="407"/>
      <c r="C6" s="3275" t="s">
        <v>2545</v>
      </c>
      <c r="D6" s="3276"/>
      <c r="E6" s="3277" t="s">
        <v>2545</v>
      </c>
      <c r="F6" s="3278"/>
      <c r="G6" s="3275" t="s">
        <v>2545</v>
      </c>
      <c r="H6" s="3276"/>
      <c r="I6" s="3275" t="s">
        <v>2545</v>
      </c>
      <c r="J6" s="3276"/>
      <c r="K6" s="610" t="s">
        <v>2546</v>
      </c>
      <c r="L6" s="1133"/>
      <c r="M6" s="1134"/>
      <c r="N6" s="1134"/>
      <c r="O6" s="1134"/>
      <c r="P6" s="3317"/>
      <c r="Q6" s="3289"/>
      <c r="R6" s="3269"/>
      <c r="S6" s="3270"/>
      <c r="T6" s="3290"/>
      <c r="U6" s="3291"/>
      <c r="V6" s="3292"/>
      <c r="W6" s="3292"/>
      <c r="X6" s="1816"/>
      <c r="Y6" s="3290"/>
      <c r="Z6" s="3291"/>
      <c r="AA6" s="3264"/>
      <c r="AB6" s="3264"/>
      <c r="AC6" s="3313"/>
    </row>
    <row r="7" spans="1:29" s="117" customFormat="1" ht="15.75" thickBot="1">
      <c r="A7" s="408" t="s">
        <v>2547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9" t="s">
        <v>2548</v>
      </c>
      <c r="Q7" s="3293"/>
      <c r="R7" s="770" t="s">
        <v>17</v>
      </c>
      <c r="S7" s="771">
        <f t="shared" ref="S7:S15" si="0">F7</f>
        <v>0</v>
      </c>
      <c r="T7" s="770" t="s">
        <v>17</v>
      </c>
      <c r="U7" s="771">
        <f t="shared" ref="U7:U15" si="1">H7</f>
        <v>0</v>
      </c>
      <c r="V7" s="770" t="s">
        <v>17</v>
      </c>
      <c r="W7" s="771">
        <f t="shared" ref="W7:W15" si="2">J7</f>
        <v>0</v>
      </c>
      <c r="X7" s="772"/>
      <c r="Y7" s="3265" t="s">
        <v>2548</v>
      </c>
      <c r="Z7" s="3266"/>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9" t="s">
        <v>2551</v>
      </c>
      <c r="Q8" s="3266"/>
      <c r="R8" s="770" t="s">
        <v>17</v>
      </c>
      <c r="S8" s="771">
        <f t="shared" si="0"/>
        <v>0</v>
      </c>
      <c r="T8" s="770" t="s">
        <v>17</v>
      </c>
      <c r="U8" s="771">
        <f t="shared" si="1"/>
        <v>0</v>
      </c>
      <c r="V8" s="770" t="s">
        <v>17</v>
      </c>
      <c r="W8" s="771">
        <f t="shared" si="2"/>
        <v>0</v>
      </c>
      <c r="X8" s="772"/>
      <c r="Y8" s="3265" t="s">
        <v>2551</v>
      </c>
      <c r="Z8" s="3266"/>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9" t="s">
        <v>2554</v>
      </c>
      <c r="Q9" s="1798" t="str">
        <f t="shared" ref="Q9:Q15" si="6">B9</f>
        <v>用途</v>
      </c>
      <c r="R9" s="770" t="s">
        <v>17</v>
      </c>
      <c r="S9" s="771">
        <f t="shared" si="0"/>
        <v>100</v>
      </c>
      <c r="T9" s="770" t="s">
        <v>17</v>
      </c>
      <c r="U9" s="771">
        <f t="shared" si="1"/>
        <v>100</v>
      </c>
      <c r="V9" s="770" t="s">
        <v>17</v>
      </c>
      <c r="W9" s="771">
        <f t="shared" si="2"/>
        <v>100</v>
      </c>
      <c r="X9" s="772"/>
      <c r="Y9" s="3101"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9"/>
      <c r="Q10" s="1798"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9"/>
      <c r="Q11" s="1798"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79"/>
      <c r="Q12" s="1798">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79"/>
      <c r="Q13" s="1798">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79"/>
      <c r="Q14" s="1798">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6" t="s">
        <v>2559</v>
      </c>
      <c r="Q15" s="1813" t="str">
        <f t="shared" si="6"/>
        <v>办公集聚程度</v>
      </c>
      <c r="R15" s="774" t="s">
        <v>17</v>
      </c>
      <c r="S15" s="775">
        <f t="shared" si="0"/>
        <v>100</v>
      </c>
      <c r="T15" s="774" t="s">
        <v>17</v>
      </c>
      <c r="U15" s="775">
        <f t="shared" si="1"/>
        <v>100</v>
      </c>
      <c r="V15" s="774" t="s">
        <v>17</v>
      </c>
      <c r="W15" s="775">
        <f t="shared" si="2"/>
        <v>100</v>
      </c>
      <c r="X15" s="1816"/>
      <c r="Y15" s="3299"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307"/>
      <c r="Q16" s="1813"/>
      <c r="R16" s="774"/>
      <c r="S16" s="775"/>
      <c r="T16" s="774"/>
      <c r="U16" s="775"/>
      <c r="V16" s="774"/>
      <c r="W16" s="775"/>
      <c r="X16" s="1816"/>
      <c r="Y16" s="3300"/>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7"/>
      <c r="Q17" s="1813" t="str">
        <f>B17</f>
        <v>交通便捷度</v>
      </c>
      <c r="R17" s="774" t="s">
        <v>17</v>
      </c>
      <c r="S17" s="775">
        <f>F17</f>
        <v>100</v>
      </c>
      <c r="T17" s="774" t="s">
        <v>17</v>
      </c>
      <c r="U17" s="775">
        <f>H17</f>
        <v>100</v>
      </c>
      <c r="V17" s="774" t="s">
        <v>17</v>
      </c>
      <c r="W17" s="775">
        <f>J17</f>
        <v>100</v>
      </c>
      <c r="X17" s="1816"/>
      <c r="Y17" s="3300"/>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307"/>
      <c r="Q18" s="1813"/>
      <c r="R18" s="774"/>
      <c r="S18" s="775"/>
      <c r="T18" s="774"/>
      <c r="U18" s="775"/>
      <c r="V18" s="774"/>
      <c r="W18" s="775"/>
      <c r="X18" s="1816"/>
      <c r="Y18" s="3300"/>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7"/>
      <c r="Q19" s="1813" t="str">
        <f>B19</f>
        <v>公共配套设施</v>
      </c>
      <c r="R19" s="774" t="s">
        <v>17</v>
      </c>
      <c r="S19" s="775">
        <f>F19</f>
        <v>100</v>
      </c>
      <c r="T19" s="774" t="s">
        <v>17</v>
      </c>
      <c r="U19" s="775">
        <f>H19</f>
        <v>100</v>
      </c>
      <c r="V19" s="774" t="s">
        <v>17</v>
      </c>
      <c r="W19" s="775">
        <f>J19</f>
        <v>100</v>
      </c>
      <c r="X19" s="1816"/>
      <c r="Y19" s="3300"/>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307"/>
      <c r="Q20" s="1813"/>
      <c r="R20" s="774"/>
      <c r="S20" s="775"/>
      <c r="T20" s="774"/>
      <c r="U20" s="775"/>
      <c r="V20" s="774"/>
      <c r="W20" s="775"/>
      <c r="X20" s="1816"/>
      <c r="Y20" s="3300"/>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7"/>
      <c r="Q21" s="1813" t="str">
        <f>B21</f>
        <v>基础设施水平</v>
      </c>
      <c r="R21" s="774" t="s">
        <v>17</v>
      </c>
      <c r="S21" s="775">
        <f>F21</f>
        <v>100</v>
      </c>
      <c r="T21" s="774" t="s">
        <v>17</v>
      </c>
      <c r="U21" s="775">
        <f>H21</f>
        <v>100</v>
      </c>
      <c r="V21" s="774" t="s">
        <v>17</v>
      </c>
      <c r="W21" s="775">
        <f>J21</f>
        <v>100</v>
      </c>
      <c r="X21" s="1816"/>
      <c r="Y21" s="3300"/>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307"/>
      <c r="Q22" s="1813"/>
      <c r="R22" s="774"/>
      <c r="S22" s="775"/>
      <c r="T22" s="774"/>
      <c r="U22" s="775"/>
      <c r="V22" s="774"/>
      <c r="W22" s="775"/>
      <c r="X22" s="1816"/>
      <c r="Y22" s="3300"/>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7"/>
      <c r="Q23" s="1813" t="str">
        <f>B23</f>
        <v>环境质量</v>
      </c>
      <c r="R23" s="774" t="s">
        <v>17</v>
      </c>
      <c r="S23" s="775">
        <f>F23</f>
        <v>100</v>
      </c>
      <c r="T23" s="774" t="s">
        <v>17</v>
      </c>
      <c r="U23" s="775">
        <f>H23</f>
        <v>100</v>
      </c>
      <c r="V23" s="774" t="s">
        <v>17</v>
      </c>
      <c r="W23" s="775">
        <f>J23</f>
        <v>100</v>
      </c>
      <c r="X23" s="1816"/>
      <c r="Y23" s="3300"/>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307"/>
      <c r="Q24" s="1813"/>
      <c r="R24" s="774"/>
      <c r="S24" s="775"/>
      <c r="T24" s="774"/>
      <c r="U24" s="775"/>
      <c r="V24" s="774"/>
      <c r="W24" s="775"/>
      <c r="X24" s="1816"/>
      <c r="Y24" s="3300"/>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307"/>
      <c r="Q25" s="1813" t="str">
        <f>B25</f>
        <v>毗邻道路的类型与等级</v>
      </c>
      <c r="R25" s="774" t="s">
        <v>17</v>
      </c>
      <c r="S25" s="775">
        <f>F25</f>
        <v>100</v>
      </c>
      <c r="T25" s="774" t="s">
        <v>17</v>
      </c>
      <c r="U25" s="775">
        <f>H25</f>
        <v>100</v>
      </c>
      <c r="V25" s="774" t="s">
        <v>17</v>
      </c>
      <c r="W25" s="775">
        <f>J25</f>
        <v>100</v>
      </c>
      <c r="X25" s="1816"/>
      <c r="Y25" s="3300"/>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307"/>
      <c r="Q26" s="1813"/>
      <c r="R26" s="774"/>
      <c r="S26" s="775"/>
      <c r="T26" s="774"/>
      <c r="U26" s="775"/>
      <c r="V26" s="774"/>
      <c r="W26" s="775"/>
      <c r="X26" s="1816"/>
      <c r="Y26" s="3300"/>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7"/>
      <c r="Q27" s="1813" t="str">
        <f t="shared" ref="Q27:Q47" si="11">B27</f>
        <v>楼层</v>
      </c>
      <c r="R27" s="774" t="s">
        <v>17</v>
      </c>
      <c r="S27" s="775">
        <f>F27</f>
        <v>100</v>
      </c>
      <c r="T27" s="774" t="s">
        <v>17</v>
      </c>
      <c r="U27" s="775">
        <f>H27</f>
        <v>100</v>
      </c>
      <c r="V27" s="774" t="s">
        <v>17</v>
      </c>
      <c r="W27" s="775">
        <f>J27</f>
        <v>100</v>
      </c>
      <c r="X27" s="1816"/>
      <c r="Y27" s="3300"/>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307"/>
      <c r="Q28" s="1798" t="str">
        <f t="shared" si="11"/>
        <v>朝向</v>
      </c>
      <c r="R28" s="770" t="s">
        <v>17</v>
      </c>
      <c r="S28" s="771">
        <f>F28</f>
        <v>100</v>
      </c>
      <c r="T28" s="770" t="s">
        <v>17</v>
      </c>
      <c r="U28" s="771">
        <f>H28</f>
        <v>100</v>
      </c>
      <c r="V28" s="770" t="s">
        <v>17</v>
      </c>
      <c r="W28" s="771">
        <f>J28</f>
        <v>100</v>
      </c>
      <c r="X28" s="772"/>
      <c r="Y28" s="3300"/>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307"/>
      <c r="Q29" s="1813">
        <f t="shared" si="11"/>
        <v>111</v>
      </c>
      <c r="R29" s="774" t="s">
        <v>17</v>
      </c>
      <c r="S29" s="775">
        <f t="shared" ref="S29:S47" si="12">F29</f>
        <v>100</v>
      </c>
      <c r="T29" s="774" t="s">
        <v>17</v>
      </c>
      <c r="U29" s="775">
        <f t="shared" ref="U29:U47" si="13">H29</f>
        <v>100</v>
      </c>
      <c r="V29" s="774" t="s">
        <v>17</v>
      </c>
      <c r="W29" s="775">
        <f t="shared" ref="W29:W47" si="14">J29</f>
        <v>100</v>
      </c>
      <c r="X29" s="1816"/>
      <c r="Y29" s="3300"/>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307"/>
      <c r="Q30" s="1813">
        <f t="shared" si="11"/>
        <v>111</v>
      </c>
      <c r="R30" s="774" t="s">
        <v>17</v>
      </c>
      <c r="S30" s="775">
        <f t="shared" si="12"/>
        <v>100</v>
      </c>
      <c r="T30" s="774" t="s">
        <v>17</v>
      </c>
      <c r="U30" s="775">
        <f t="shared" si="13"/>
        <v>100</v>
      </c>
      <c r="V30" s="774" t="s">
        <v>17</v>
      </c>
      <c r="W30" s="775">
        <f t="shared" si="14"/>
        <v>100</v>
      </c>
      <c r="X30" s="1816"/>
      <c r="Y30" s="3300"/>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307"/>
      <c r="Q31" s="1813">
        <f t="shared" si="11"/>
        <v>111</v>
      </c>
      <c r="R31" s="774" t="s">
        <v>17</v>
      </c>
      <c r="S31" s="775">
        <f t="shared" si="12"/>
        <v>100</v>
      </c>
      <c r="T31" s="774" t="s">
        <v>17</v>
      </c>
      <c r="U31" s="775">
        <f t="shared" si="13"/>
        <v>100</v>
      </c>
      <c r="V31" s="774" t="s">
        <v>17</v>
      </c>
      <c r="W31" s="775">
        <f t="shared" si="14"/>
        <v>100</v>
      </c>
      <c r="X31" s="1816"/>
      <c r="Y31" s="3300"/>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307"/>
      <c r="Q32" s="1813">
        <f t="shared" si="11"/>
        <v>111</v>
      </c>
      <c r="R32" s="774" t="s">
        <v>17</v>
      </c>
      <c r="S32" s="775">
        <f t="shared" si="12"/>
        <v>100</v>
      </c>
      <c r="T32" s="774" t="s">
        <v>17</v>
      </c>
      <c r="U32" s="775">
        <f t="shared" si="13"/>
        <v>100</v>
      </c>
      <c r="V32" s="774" t="s">
        <v>17</v>
      </c>
      <c r="W32" s="775">
        <f t="shared" si="14"/>
        <v>100</v>
      </c>
      <c r="X32" s="1816"/>
      <c r="Y32" s="3300"/>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301" t="s">
        <v>2564</v>
      </c>
      <c r="Q33" s="1813" t="str">
        <f t="shared" si="11"/>
        <v>建筑类型</v>
      </c>
      <c r="R33" s="774" t="s">
        <v>17</v>
      </c>
      <c r="S33" s="775">
        <f t="shared" si="12"/>
        <v>100</v>
      </c>
      <c r="T33" s="774" t="s">
        <v>17</v>
      </c>
      <c r="U33" s="775">
        <f t="shared" si="13"/>
        <v>100</v>
      </c>
      <c r="V33" s="774" t="s">
        <v>17</v>
      </c>
      <c r="W33" s="775">
        <f t="shared" si="14"/>
        <v>100</v>
      </c>
      <c r="X33" s="1816"/>
      <c r="Y33" s="3304"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2"/>
      <c r="Q34" s="776" t="str">
        <f t="shared" si="11"/>
        <v>项目建筑规模</v>
      </c>
      <c r="R34" s="777" t="s">
        <v>17</v>
      </c>
      <c r="S34" s="778" t="e">
        <f t="shared" si="12"/>
        <v>#N/A</v>
      </c>
      <c r="T34" s="777" t="s">
        <v>17</v>
      </c>
      <c r="U34" s="778" t="e">
        <f t="shared" si="13"/>
        <v>#N/A</v>
      </c>
      <c r="V34" s="777" t="s">
        <v>17</v>
      </c>
      <c r="W34" s="778" t="e">
        <f t="shared" si="14"/>
        <v>#N/A</v>
      </c>
      <c r="X34" s="779"/>
      <c r="Y34" s="3304"/>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2"/>
      <c r="Q35" s="1813" t="str">
        <f t="shared" si="11"/>
        <v>建筑结构</v>
      </c>
      <c r="R35" s="774" t="s">
        <v>17</v>
      </c>
      <c r="S35" s="775">
        <f t="shared" si="12"/>
        <v>100</v>
      </c>
      <c r="T35" s="774" t="s">
        <v>17</v>
      </c>
      <c r="U35" s="775">
        <f t="shared" si="13"/>
        <v>100</v>
      </c>
      <c r="V35" s="774" t="s">
        <v>17</v>
      </c>
      <c r="W35" s="775">
        <f t="shared" si="14"/>
        <v>100</v>
      </c>
      <c r="X35" s="1816"/>
      <c r="Y35" s="3304"/>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2"/>
      <c r="Q36" s="1813" t="str">
        <f t="shared" si="11"/>
        <v>公共部分装修</v>
      </c>
      <c r="R36" s="774" t="s">
        <v>17</v>
      </c>
      <c r="S36" s="775">
        <f t="shared" si="12"/>
        <v>100</v>
      </c>
      <c r="T36" s="774" t="s">
        <v>17</v>
      </c>
      <c r="U36" s="775">
        <f t="shared" si="13"/>
        <v>100</v>
      </c>
      <c r="V36" s="774" t="s">
        <v>17</v>
      </c>
      <c r="W36" s="775">
        <f t="shared" si="14"/>
        <v>100</v>
      </c>
      <c r="X36" s="1816"/>
      <c r="Y36" s="3304"/>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2"/>
      <c r="Q37" s="1813" t="str">
        <f t="shared" si="11"/>
        <v>成新度</v>
      </c>
      <c r="R37" s="774" t="s">
        <v>17</v>
      </c>
      <c r="S37" s="775" t="e">
        <f t="shared" si="12"/>
        <v>#N/A</v>
      </c>
      <c r="T37" s="774" t="s">
        <v>17</v>
      </c>
      <c r="U37" s="775" t="e">
        <f t="shared" si="13"/>
        <v>#N/A</v>
      </c>
      <c r="V37" s="774" t="s">
        <v>17</v>
      </c>
      <c r="W37" s="775" t="e">
        <f t="shared" si="14"/>
        <v>#N/A</v>
      </c>
      <c r="X37" s="1816"/>
      <c r="Y37" s="3304"/>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2"/>
      <c r="Q38" s="1798" t="str">
        <f t="shared" si="11"/>
        <v>写字楼等级</v>
      </c>
      <c r="R38" s="770" t="s">
        <v>17</v>
      </c>
      <c r="S38" s="771">
        <f t="shared" si="12"/>
        <v>100</v>
      </c>
      <c r="T38" s="770" t="s">
        <v>17</v>
      </c>
      <c r="U38" s="771">
        <f t="shared" si="13"/>
        <v>100</v>
      </c>
      <c r="V38" s="770" t="s">
        <v>17</v>
      </c>
      <c r="W38" s="771">
        <f t="shared" si="14"/>
        <v>100</v>
      </c>
      <c r="X38" s="772"/>
      <c r="Y38" s="3304"/>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2" t="s">
        <v>2564</v>
      </c>
      <c r="Q39" s="1813" t="str">
        <f t="shared" si="11"/>
        <v>物业管理</v>
      </c>
      <c r="R39" s="774" t="s">
        <v>17</v>
      </c>
      <c r="S39" s="775">
        <f t="shared" si="12"/>
        <v>100</v>
      </c>
      <c r="T39" s="774" t="s">
        <v>17</v>
      </c>
      <c r="U39" s="775">
        <f t="shared" si="13"/>
        <v>100</v>
      </c>
      <c r="V39" s="774" t="s">
        <v>17</v>
      </c>
      <c r="W39" s="775">
        <f t="shared" si="14"/>
        <v>100</v>
      </c>
      <c r="X39" s="1816"/>
      <c r="Y39" s="3304"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2"/>
      <c r="Q40" s="1813" t="str">
        <f t="shared" si="11"/>
        <v>市政基础设施</v>
      </c>
      <c r="R40" s="774" t="s">
        <v>17</v>
      </c>
      <c r="S40" s="775">
        <f t="shared" si="12"/>
        <v>100</v>
      </c>
      <c r="T40" s="774" t="s">
        <v>17</v>
      </c>
      <c r="U40" s="775">
        <f t="shared" si="13"/>
        <v>100</v>
      </c>
      <c r="V40" s="774" t="s">
        <v>17</v>
      </c>
      <c r="W40" s="775">
        <f t="shared" si="14"/>
        <v>100</v>
      </c>
      <c r="X40" s="1816"/>
      <c r="Y40" s="3304"/>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2"/>
      <c r="Q41" s="1813" t="str">
        <f t="shared" si="11"/>
        <v>层高</v>
      </c>
      <c r="R41" s="774" t="s">
        <v>17</v>
      </c>
      <c r="S41" s="775">
        <f t="shared" si="12"/>
        <v>100</v>
      </c>
      <c r="T41" s="774" t="s">
        <v>17</v>
      </c>
      <c r="U41" s="775">
        <f t="shared" si="13"/>
        <v>100</v>
      </c>
      <c r="V41" s="774" t="s">
        <v>17</v>
      </c>
      <c r="W41" s="775">
        <f t="shared" si="14"/>
        <v>100</v>
      </c>
      <c r="X41" s="1816"/>
      <c r="Y41" s="3304"/>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2"/>
      <c r="Q42" s="776" t="str">
        <f t="shared" si="11"/>
        <v>单套建筑面积</v>
      </c>
      <c r="R42" s="777" t="s">
        <v>17</v>
      </c>
      <c r="S42" s="778">
        <f t="shared" si="12"/>
        <v>100</v>
      </c>
      <c r="T42" s="777" t="s">
        <v>17</v>
      </c>
      <c r="U42" s="778">
        <f t="shared" si="13"/>
        <v>100</v>
      </c>
      <c r="V42" s="777" t="s">
        <v>17</v>
      </c>
      <c r="W42" s="778">
        <f t="shared" si="14"/>
        <v>100</v>
      </c>
      <c r="X42" s="779"/>
      <c r="Y42" s="3304"/>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2"/>
      <c r="Q43" s="1813" t="str">
        <f t="shared" si="11"/>
        <v>内部装修</v>
      </c>
      <c r="R43" s="774" t="s">
        <v>17</v>
      </c>
      <c r="S43" s="775">
        <f t="shared" si="12"/>
        <v>100</v>
      </c>
      <c r="T43" s="774" t="s">
        <v>17</v>
      </c>
      <c r="U43" s="775">
        <f t="shared" si="13"/>
        <v>100</v>
      </c>
      <c r="V43" s="774" t="s">
        <v>17</v>
      </c>
      <c r="W43" s="775">
        <f t="shared" si="14"/>
        <v>100</v>
      </c>
      <c r="X43" s="1816"/>
      <c r="Y43" s="3304"/>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302"/>
      <c r="Q44" s="1813" t="str">
        <f t="shared" si="11"/>
        <v>内部装修维护情况</v>
      </c>
      <c r="R44" s="774" t="s">
        <v>17</v>
      </c>
      <c r="S44" s="775">
        <f t="shared" si="12"/>
        <v>100</v>
      </c>
      <c r="T44" s="774" t="s">
        <v>17</v>
      </c>
      <c r="U44" s="775">
        <f t="shared" si="13"/>
        <v>100</v>
      </c>
      <c r="V44" s="774" t="s">
        <v>17</v>
      </c>
      <c r="W44" s="775">
        <f t="shared" si="14"/>
        <v>100</v>
      </c>
      <c r="X44" s="1816"/>
      <c r="Y44" s="3304"/>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2"/>
      <c r="Q45" s="1798">
        <f t="shared" si="11"/>
        <v>111</v>
      </c>
      <c r="R45" s="770" t="s">
        <v>17</v>
      </c>
      <c r="S45" s="771">
        <f t="shared" si="12"/>
        <v>100</v>
      </c>
      <c r="T45" s="770" t="s">
        <v>17</v>
      </c>
      <c r="U45" s="771">
        <f t="shared" si="13"/>
        <v>100</v>
      </c>
      <c r="V45" s="770" t="s">
        <v>17</v>
      </c>
      <c r="W45" s="771">
        <f t="shared" si="14"/>
        <v>100</v>
      </c>
      <c r="X45" s="772"/>
      <c r="Y45" s="3304"/>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2"/>
      <c r="Q46" s="1813">
        <f t="shared" si="11"/>
        <v>111</v>
      </c>
      <c r="R46" s="774" t="s">
        <v>17</v>
      </c>
      <c r="S46" s="775">
        <f t="shared" si="12"/>
        <v>100</v>
      </c>
      <c r="T46" s="774" t="s">
        <v>17</v>
      </c>
      <c r="U46" s="775">
        <f t="shared" si="13"/>
        <v>100</v>
      </c>
      <c r="V46" s="774" t="s">
        <v>17</v>
      </c>
      <c r="W46" s="775">
        <f t="shared" si="14"/>
        <v>100</v>
      </c>
      <c r="X46" s="1816"/>
      <c r="Y46" s="3304"/>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3"/>
      <c r="Q47" s="1813">
        <f t="shared" si="11"/>
        <v>111</v>
      </c>
      <c r="R47" s="774" t="s">
        <v>17</v>
      </c>
      <c r="S47" s="775">
        <f t="shared" si="12"/>
        <v>100</v>
      </c>
      <c r="T47" s="774" t="s">
        <v>17</v>
      </c>
      <c r="U47" s="775">
        <f t="shared" si="13"/>
        <v>100</v>
      </c>
      <c r="V47" s="774" t="s">
        <v>17</v>
      </c>
      <c r="W47" s="775">
        <f t="shared" si="14"/>
        <v>100</v>
      </c>
      <c r="X47" s="1816"/>
      <c r="Y47" s="3305"/>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79" t="str">
        <f>A48</f>
        <v>成交单价（元/平方米）</v>
      </c>
      <c r="Q48" s="3297"/>
      <c r="R48" s="3298">
        <f>E48</f>
        <v>0</v>
      </c>
      <c r="S48" s="3298"/>
      <c r="T48" s="3298">
        <f>G48</f>
        <v>0</v>
      </c>
      <c r="U48" s="3298"/>
      <c r="V48" s="3298">
        <f>I48</f>
        <v>0</v>
      </c>
      <c r="W48" s="3298"/>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79" t="str">
        <f>A49</f>
        <v>比较价值（元/平方米）</v>
      </c>
      <c r="Q49" s="3297"/>
      <c r="R49" s="3298" t="e">
        <f>IF(F1="售价",ROUND(PRODUCT(R48,AA7:AA47),0),ROUND(PRODUCT(R48,AA7:AA47),1))</f>
        <v>#DIV/0!</v>
      </c>
      <c r="S49" s="3298"/>
      <c r="T49" s="3298" t="e">
        <f>IF(F1="售价",ROUND(PRODUCT(T48,AB7:AB47),0),ROUND(PRODUCT(T48,AB7:AB47),1))</f>
        <v>#DIV/0!</v>
      </c>
      <c r="U49" s="3298"/>
      <c r="V49" s="3298" t="e">
        <f>IF(F1="售价",ROUND(PRODUCT(V48,AC7:AC47),0),ROUND(PRODUCT(V48,AC7:AC47),1))</f>
        <v>#DIV/0!</v>
      </c>
      <c r="W49" s="3298"/>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320" t="str">
        <f>A50</f>
        <v>估价对象XX用房的比较价值（楼面单价，元/平方米）</v>
      </c>
      <c r="Q50" s="3321"/>
      <c r="R50" s="3322" t="e">
        <f>IF(F1="售价",ROUND(AVERAGE(R49:V49),0),ROUND(AVERAGE(R49:V49),1))</f>
        <v>#DIV/0!</v>
      </c>
      <c r="S50" s="3322"/>
      <c r="T50" s="3322"/>
      <c r="U50" s="3322"/>
      <c r="V50" s="3322"/>
      <c r="W50" s="3322"/>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20447.539999999997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67" t="s">
        <v>2646</v>
      </c>
      <c r="S4" s="3268"/>
      <c r="T4" s="3267" t="s">
        <v>2647</v>
      </c>
      <c r="U4" s="3268"/>
      <c r="V4" s="3292" t="s">
        <v>2648</v>
      </c>
      <c r="W4" s="3292"/>
      <c r="X4" s="1816"/>
      <c r="Y4" s="3267" t="s">
        <v>2650</v>
      </c>
      <c r="Z4" s="3268"/>
      <c r="AA4" s="3262" t="s">
        <v>2646</v>
      </c>
      <c r="AB4" s="3263" t="s">
        <v>2647</v>
      </c>
      <c r="AC4" s="3262" t="s">
        <v>2648</v>
      </c>
    </row>
    <row r="5" spans="1:29" ht="15">
      <c r="A5" s="404"/>
      <c r="B5" s="405"/>
      <c r="C5" s="3273" t="s">
        <v>2541</v>
      </c>
      <c r="D5" s="3274"/>
      <c r="E5" s="3271" t="s">
        <v>2542</v>
      </c>
      <c r="F5" s="3272"/>
      <c r="G5" s="3273" t="s">
        <v>2543</v>
      </c>
      <c r="H5" s="3274"/>
      <c r="I5" s="3273" t="s">
        <v>2544</v>
      </c>
      <c r="J5" s="3274"/>
      <c r="K5" s="610"/>
      <c r="L5" s="1133"/>
      <c r="M5" s="1134"/>
      <c r="N5" s="1134"/>
      <c r="O5" s="1134"/>
      <c r="P5" s="3286"/>
      <c r="Q5" s="3287"/>
      <c r="R5" s="3269"/>
      <c r="S5" s="3270"/>
      <c r="T5" s="3269"/>
      <c r="U5" s="3270"/>
      <c r="V5" s="3292"/>
      <c r="W5" s="3292"/>
      <c r="X5" s="1816"/>
      <c r="Y5" s="3269"/>
      <c r="Z5" s="3270"/>
      <c r="AA5" s="3263"/>
      <c r="AB5" s="3263"/>
      <c r="AC5" s="3263"/>
    </row>
    <row r="6" spans="1:29" ht="15.75" thickBot="1">
      <c r="A6" s="406"/>
      <c r="B6" s="407"/>
      <c r="C6" s="3275" t="s">
        <v>2545</v>
      </c>
      <c r="D6" s="3276"/>
      <c r="E6" s="3277" t="s">
        <v>2545</v>
      </c>
      <c r="F6" s="3278"/>
      <c r="G6" s="3275" t="s">
        <v>2545</v>
      </c>
      <c r="H6" s="3276"/>
      <c r="I6" s="3275" t="s">
        <v>2545</v>
      </c>
      <c r="J6" s="3276"/>
      <c r="K6" s="610" t="s">
        <v>2546</v>
      </c>
      <c r="L6" s="1133"/>
      <c r="M6" s="1134"/>
      <c r="N6" s="1134"/>
      <c r="O6" s="1134"/>
      <c r="P6" s="3288"/>
      <c r="Q6" s="3289"/>
      <c r="R6" s="3269"/>
      <c r="S6" s="3270"/>
      <c r="T6" s="3290"/>
      <c r="U6" s="3291"/>
      <c r="V6" s="3292"/>
      <c r="W6" s="3292"/>
      <c r="X6" s="1816"/>
      <c r="Y6" s="3290"/>
      <c r="Z6" s="3291"/>
      <c r="AA6" s="3264"/>
      <c r="AB6" s="3264"/>
      <c r="AC6" s="3264"/>
    </row>
    <row r="7" spans="1:29" s="117" customFormat="1" ht="15.75" thickBot="1">
      <c r="A7" s="408" t="s">
        <v>2547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5" t="s">
        <v>2548</v>
      </c>
      <c r="Q7" s="3293"/>
      <c r="R7" s="770" t="s">
        <v>17</v>
      </c>
      <c r="S7" s="771">
        <f t="shared" ref="S7:S15" si="0">F7</f>
        <v>0</v>
      </c>
      <c r="T7" s="770" t="s">
        <v>17</v>
      </c>
      <c r="U7" s="771">
        <f t="shared" ref="U7:U15" si="1">H7</f>
        <v>0</v>
      </c>
      <c r="V7" s="770" t="s">
        <v>17</v>
      </c>
      <c r="W7" s="771">
        <f t="shared" ref="W7:W15" si="2">J7</f>
        <v>0</v>
      </c>
      <c r="X7" s="772"/>
      <c r="Y7" s="3265" t="s">
        <v>2548</v>
      </c>
      <c r="Z7" s="326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5" t="s">
        <v>2551</v>
      </c>
      <c r="Q8" s="3266"/>
      <c r="R8" s="770" t="s">
        <v>17</v>
      </c>
      <c r="S8" s="771">
        <f t="shared" si="0"/>
        <v>0</v>
      </c>
      <c r="T8" s="770" t="s">
        <v>17</v>
      </c>
      <c r="U8" s="771">
        <f t="shared" si="1"/>
        <v>0</v>
      </c>
      <c r="V8" s="770" t="s">
        <v>17</v>
      </c>
      <c r="W8" s="771">
        <f t="shared" si="2"/>
        <v>0</v>
      </c>
      <c r="X8" s="772"/>
      <c r="Y8" s="3265" t="s">
        <v>2551</v>
      </c>
      <c r="Z8" s="326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97" t="s">
        <v>2554</v>
      </c>
      <c r="Q9" s="1798" t="str">
        <f t="shared" ref="Q9:Q15" si="6">B9</f>
        <v>用途</v>
      </c>
      <c r="R9" s="770" t="s">
        <v>17</v>
      </c>
      <c r="S9" s="771">
        <f t="shared" si="0"/>
        <v>100</v>
      </c>
      <c r="T9" s="770" t="s">
        <v>17</v>
      </c>
      <c r="U9" s="771">
        <f t="shared" si="1"/>
        <v>100</v>
      </c>
      <c r="V9" s="770" t="s">
        <v>17</v>
      </c>
      <c r="W9" s="771">
        <f t="shared" si="2"/>
        <v>100</v>
      </c>
      <c r="X9" s="772"/>
      <c r="Y9" s="310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97"/>
      <c r="Q10" s="1798"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97"/>
      <c r="Q11" s="1798"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97"/>
      <c r="Q12" s="1798">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97"/>
      <c r="Q13" s="1798">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97"/>
      <c r="Q14" s="1798">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99" t="s">
        <v>2559</v>
      </c>
      <c r="Q15" s="1813" t="str">
        <f t="shared" si="6"/>
        <v>产业集聚程度</v>
      </c>
      <c r="R15" s="774" t="s">
        <v>17</v>
      </c>
      <c r="S15" s="775">
        <f t="shared" si="0"/>
        <v>100</v>
      </c>
      <c r="T15" s="774" t="s">
        <v>17</v>
      </c>
      <c r="U15" s="775">
        <f t="shared" si="1"/>
        <v>100</v>
      </c>
      <c r="V15" s="774" t="s">
        <v>17</v>
      </c>
      <c r="W15" s="775">
        <f t="shared" si="2"/>
        <v>100</v>
      </c>
      <c r="X15" s="1816"/>
      <c r="Y15" s="3299"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300"/>
      <c r="Q16" s="1813"/>
      <c r="R16" s="774"/>
      <c r="S16" s="775"/>
      <c r="T16" s="774"/>
      <c r="U16" s="775"/>
      <c r="V16" s="774"/>
      <c r="W16" s="775"/>
      <c r="X16" s="1816"/>
      <c r="Y16" s="3300"/>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300"/>
      <c r="Q17" s="1813" t="str">
        <f>B17</f>
        <v>交通便捷度</v>
      </c>
      <c r="R17" s="774" t="s">
        <v>17</v>
      </c>
      <c r="S17" s="775">
        <f>F17</f>
        <v>100</v>
      </c>
      <c r="T17" s="774" t="s">
        <v>17</v>
      </c>
      <c r="U17" s="775">
        <f>H17</f>
        <v>100</v>
      </c>
      <c r="V17" s="774" t="s">
        <v>17</v>
      </c>
      <c r="W17" s="775">
        <f>J17</f>
        <v>100</v>
      </c>
      <c r="X17" s="1816"/>
      <c r="Y17" s="3300"/>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300"/>
      <c r="Q18" s="1813"/>
      <c r="R18" s="774"/>
      <c r="S18" s="775"/>
      <c r="T18" s="774"/>
      <c r="U18" s="775"/>
      <c r="V18" s="774"/>
      <c r="W18" s="775"/>
      <c r="X18" s="1816"/>
      <c r="Y18" s="3300"/>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300"/>
      <c r="Q19" s="1813" t="str">
        <f>B19</f>
        <v>公共配套设施</v>
      </c>
      <c r="R19" s="774" t="s">
        <v>17</v>
      </c>
      <c r="S19" s="775">
        <f>F19</f>
        <v>100</v>
      </c>
      <c r="T19" s="774" t="s">
        <v>17</v>
      </c>
      <c r="U19" s="775">
        <f>H19</f>
        <v>100</v>
      </c>
      <c r="V19" s="774" t="s">
        <v>17</v>
      </c>
      <c r="W19" s="775">
        <f>J19</f>
        <v>100</v>
      </c>
      <c r="X19" s="1816"/>
      <c r="Y19" s="3300"/>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300"/>
      <c r="Q20" s="1813"/>
      <c r="R20" s="774"/>
      <c r="S20" s="775"/>
      <c r="T20" s="774"/>
      <c r="U20" s="775"/>
      <c r="V20" s="774"/>
      <c r="W20" s="775"/>
      <c r="X20" s="1816"/>
      <c r="Y20" s="3300"/>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300"/>
      <c r="Q21" s="1813" t="str">
        <f>B21</f>
        <v>基础设施水平</v>
      </c>
      <c r="R21" s="774" t="s">
        <v>17</v>
      </c>
      <c r="S21" s="775">
        <f>F21</f>
        <v>100</v>
      </c>
      <c r="T21" s="774" t="s">
        <v>17</v>
      </c>
      <c r="U21" s="775">
        <f>H21</f>
        <v>100</v>
      </c>
      <c r="V21" s="774" t="s">
        <v>17</v>
      </c>
      <c r="W21" s="775">
        <f>J21</f>
        <v>100</v>
      </c>
      <c r="X21" s="1816"/>
      <c r="Y21" s="3300"/>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300"/>
      <c r="Q22" s="1813"/>
      <c r="R22" s="774"/>
      <c r="S22" s="775"/>
      <c r="T22" s="774"/>
      <c r="U22" s="775"/>
      <c r="V22" s="774"/>
      <c r="W22" s="775"/>
      <c r="X22" s="1816"/>
      <c r="Y22" s="3300"/>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300"/>
      <c r="Q23" s="1813" t="str">
        <f>B23</f>
        <v>环境质量</v>
      </c>
      <c r="R23" s="774" t="s">
        <v>17</v>
      </c>
      <c r="S23" s="775">
        <f>F23</f>
        <v>100</v>
      </c>
      <c r="T23" s="774" t="s">
        <v>17</v>
      </c>
      <c r="U23" s="775">
        <f>H23</f>
        <v>100</v>
      </c>
      <c r="V23" s="774" t="s">
        <v>17</v>
      </c>
      <c r="W23" s="775">
        <f>J23</f>
        <v>100</v>
      </c>
      <c r="X23" s="1816"/>
      <c r="Y23" s="3300"/>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300"/>
      <c r="Q24" s="1813"/>
      <c r="R24" s="774"/>
      <c r="S24" s="775"/>
      <c r="T24" s="774"/>
      <c r="U24" s="775"/>
      <c r="V24" s="774"/>
      <c r="W24" s="775"/>
      <c r="X24" s="1816"/>
      <c r="Y24" s="330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300"/>
      <c r="Q25" s="1813">
        <f>B25</f>
        <v>111</v>
      </c>
      <c r="R25" s="774" t="s">
        <v>17</v>
      </c>
      <c r="S25" s="775">
        <f>F25</f>
        <v>100</v>
      </c>
      <c r="T25" s="774" t="s">
        <v>17</v>
      </c>
      <c r="U25" s="775">
        <f>H25</f>
        <v>100</v>
      </c>
      <c r="V25" s="774" t="s">
        <v>17</v>
      </c>
      <c r="W25" s="775">
        <f>J25</f>
        <v>100</v>
      </c>
      <c r="X25" s="1816"/>
      <c r="Y25" s="330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300"/>
      <c r="Q26" s="1813">
        <f t="shared" ref="Q26:Q40" si="11">B26</f>
        <v>111</v>
      </c>
      <c r="R26" s="774" t="s">
        <v>17</v>
      </c>
      <c r="S26" s="775">
        <f>F26</f>
        <v>100</v>
      </c>
      <c r="T26" s="774" t="s">
        <v>17</v>
      </c>
      <c r="U26" s="775">
        <f>H26</f>
        <v>100</v>
      </c>
      <c r="V26" s="774" t="s">
        <v>17</v>
      </c>
      <c r="W26" s="775">
        <f>J26</f>
        <v>100</v>
      </c>
      <c r="X26" s="1816"/>
      <c r="Y26" s="330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300"/>
      <c r="Q27" s="1798">
        <f t="shared" si="11"/>
        <v>111</v>
      </c>
      <c r="R27" s="770" t="s">
        <v>17</v>
      </c>
      <c r="S27" s="771">
        <f>F27</f>
        <v>100</v>
      </c>
      <c r="T27" s="770" t="s">
        <v>17</v>
      </c>
      <c r="U27" s="771">
        <f>H27</f>
        <v>100</v>
      </c>
      <c r="V27" s="770" t="s">
        <v>17</v>
      </c>
      <c r="W27" s="771">
        <f>J27</f>
        <v>100</v>
      </c>
      <c r="X27" s="772"/>
      <c r="Y27" s="330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300"/>
      <c r="Q28" s="1813">
        <f t="shared" si="11"/>
        <v>111</v>
      </c>
      <c r="R28" s="774" t="s">
        <v>17</v>
      </c>
      <c r="S28" s="775">
        <f t="shared" ref="S28:S40" si="12">F28</f>
        <v>100</v>
      </c>
      <c r="T28" s="774" t="s">
        <v>17</v>
      </c>
      <c r="U28" s="775">
        <f t="shared" ref="U28:U40" si="13">H28</f>
        <v>100</v>
      </c>
      <c r="V28" s="774" t="s">
        <v>17</v>
      </c>
      <c r="W28" s="775">
        <f t="shared" ref="W28:W40" si="14">J28</f>
        <v>100</v>
      </c>
      <c r="X28" s="1816"/>
      <c r="Y28" s="3300"/>
      <c r="Z28" s="1817">
        <f t="shared" ref="Z28:Z40" si="15">Q28</f>
        <v>111</v>
      </c>
      <c r="AA28" s="1814">
        <f t="shared" si="3"/>
        <v>1</v>
      </c>
      <c r="AB28" s="1814">
        <f t="shared" si="4"/>
        <v>1</v>
      </c>
      <c r="AC28" s="1814">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23" t="s">
        <v>2564</v>
      </c>
      <c r="Q29" s="1813" t="str">
        <f t="shared" si="11"/>
        <v>建筑类型</v>
      </c>
      <c r="R29" s="774" t="s">
        <v>17</v>
      </c>
      <c r="S29" s="775">
        <f t="shared" si="12"/>
        <v>100</v>
      </c>
      <c r="T29" s="774" t="s">
        <v>17</v>
      </c>
      <c r="U29" s="775">
        <f t="shared" si="13"/>
        <v>100</v>
      </c>
      <c r="V29" s="774" t="s">
        <v>17</v>
      </c>
      <c r="W29" s="775">
        <f t="shared" si="14"/>
        <v>100</v>
      </c>
      <c r="X29" s="1816"/>
      <c r="Y29" s="3304"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04"/>
      <c r="Q30" s="776" t="str">
        <f t="shared" si="11"/>
        <v>项目建筑规模</v>
      </c>
      <c r="R30" s="777" t="s">
        <v>17</v>
      </c>
      <c r="S30" s="778" t="e">
        <f t="shared" si="12"/>
        <v>#N/A</v>
      </c>
      <c r="T30" s="777" t="s">
        <v>17</v>
      </c>
      <c r="U30" s="778" t="e">
        <f t="shared" si="13"/>
        <v>#N/A</v>
      </c>
      <c r="V30" s="777" t="s">
        <v>17</v>
      </c>
      <c r="W30" s="778" t="e">
        <f t="shared" si="14"/>
        <v>#N/A</v>
      </c>
      <c r="X30" s="779"/>
      <c r="Y30" s="3304"/>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04"/>
      <c r="Q31" s="1813" t="str">
        <f t="shared" si="11"/>
        <v>建筑结构</v>
      </c>
      <c r="R31" s="774" t="s">
        <v>17</v>
      </c>
      <c r="S31" s="775">
        <f t="shared" si="12"/>
        <v>100</v>
      </c>
      <c r="T31" s="774" t="s">
        <v>17</v>
      </c>
      <c r="U31" s="775">
        <f t="shared" si="13"/>
        <v>100</v>
      </c>
      <c r="V31" s="774" t="s">
        <v>17</v>
      </c>
      <c r="W31" s="775">
        <f t="shared" si="14"/>
        <v>100</v>
      </c>
      <c r="X31" s="1816"/>
      <c r="Y31" s="3304"/>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04"/>
      <c r="Q32" s="1813" t="str">
        <f t="shared" si="11"/>
        <v>公共部分装修</v>
      </c>
      <c r="R32" s="774" t="s">
        <v>17</v>
      </c>
      <c r="S32" s="775">
        <f t="shared" si="12"/>
        <v>100</v>
      </c>
      <c r="T32" s="774" t="s">
        <v>17</v>
      </c>
      <c r="U32" s="775">
        <f t="shared" si="13"/>
        <v>100</v>
      </c>
      <c r="V32" s="774" t="s">
        <v>17</v>
      </c>
      <c r="W32" s="775">
        <f t="shared" si="14"/>
        <v>100</v>
      </c>
      <c r="X32" s="1816"/>
      <c r="Y32" s="3304"/>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04"/>
      <c r="Q33" s="1813" t="str">
        <f t="shared" si="11"/>
        <v>成新度</v>
      </c>
      <c r="R33" s="774" t="s">
        <v>17</v>
      </c>
      <c r="S33" s="775" t="e">
        <f t="shared" si="12"/>
        <v>#N/A</v>
      </c>
      <c r="T33" s="774" t="s">
        <v>17</v>
      </c>
      <c r="U33" s="775" t="e">
        <f t="shared" si="13"/>
        <v>#N/A</v>
      </c>
      <c r="V33" s="774" t="s">
        <v>17</v>
      </c>
      <c r="W33" s="775" t="e">
        <f t="shared" si="14"/>
        <v>#N/A</v>
      </c>
      <c r="X33" s="1816"/>
      <c r="Y33" s="3304"/>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04"/>
      <c r="Q34" s="1798" t="str">
        <f t="shared" si="11"/>
        <v>物业管理</v>
      </c>
      <c r="R34" s="770" t="s">
        <v>17</v>
      </c>
      <c r="S34" s="771">
        <f t="shared" si="12"/>
        <v>100</v>
      </c>
      <c r="T34" s="770" t="s">
        <v>17</v>
      </c>
      <c r="U34" s="771">
        <f t="shared" si="13"/>
        <v>100</v>
      </c>
      <c r="V34" s="770" t="s">
        <v>17</v>
      </c>
      <c r="W34" s="771">
        <f t="shared" si="14"/>
        <v>100</v>
      </c>
      <c r="X34" s="772"/>
      <c r="Y34" s="330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04" t="s">
        <v>2564</v>
      </c>
      <c r="Q35" s="1813" t="str">
        <f t="shared" si="11"/>
        <v>市政基础设施</v>
      </c>
      <c r="R35" s="774" t="s">
        <v>17</v>
      </c>
      <c r="S35" s="775">
        <f t="shared" si="12"/>
        <v>100</v>
      </c>
      <c r="T35" s="774" t="s">
        <v>17</v>
      </c>
      <c r="U35" s="775">
        <f t="shared" si="13"/>
        <v>100</v>
      </c>
      <c r="V35" s="774" t="s">
        <v>17</v>
      </c>
      <c r="W35" s="775">
        <f t="shared" si="14"/>
        <v>100</v>
      </c>
      <c r="X35" s="1816"/>
      <c r="Y35" s="3304"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04"/>
      <c r="Q36" s="1813" t="str">
        <f t="shared" si="11"/>
        <v>内部装修</v>
      </c>
      <c r="R36" s="774" t="s">
        <v>17</v>
      </c>
      <c r="S36" s="775">
        <f t="shared" si="12"/>
        <v>100</v>
      </c>
      <c r="T36" s="774" t="s">
        <v>17</v>
      </c>
      <c r="U36" s="775">
        <f t="shared" si="13"/>
        <v>100</v>
      </c>
      <c r="V36" s="774" t="s">
        <v>17</v>
      </c>
      <c r="W36" s="775">
        <f t="shared" si="14"/>
        <v>100</v>
      </c>
      <c r="X36" s="1816"/>
      <c r="Y36" s="3304"/>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04"/>
      <c r="Q37" s="1813" t="str">
        <f t="shared" si="11"/>
        <v>内部装修状况</v>
      </c>
      <c r="R37" s="774" t="s">
        <v>17</v>
      </c>
      <c r="S37" s="775">
        <f t="shared" si="12"/>
        <v>100</v>
      </c>
      <c r="T37" s="774" t="s">
        <v>17</v>
      </c>
      <c r="U37" s="775">
        <f t="shared" si="13"/>
        <v>100</v>
      </c>
      <c r="V37" s="774" t="s">
        <v>17</v>
      </c>
      <c r="W37" s="775">
        <f t="shared" si="14"/>
        <v>100</v>
      </c>
      <c r="X37" s="1816"/>
      <c r="Y37" s="330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04"/>
      <c r="Q38" s="776">
        <f t="shared" si="11"/>
        <v>111</v>
      </c>
      <c r="R38" s="777" t="s">
        <v>17</v>
      </c>
      <c r="S38" s="778">
        <f t="shared" si="12"/>
        <v>100</v>
      </c>
      <c r="T38" s="777" t="s">
        <v>17</v>
      </c>
      <c r="U38" s="778">
        <f t="shared" si="13"/>
        <v>100</v>
      </c>
      <c r="V38" s="777" t="s">
        <v>17</v>
      </c>
      <c r="W38" s="778">
        <f t="shared" si="14"/>
        <v>100</v>
      </c>
      <c r="X38" s="779"/>
      <c r="Y38" s="330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04"/>
      <c r="Q39" s="1813">
        <f t="shared" si="11"/>
        <v>111</v>
      </c>
      <c r="R39" s="774" t="s">
        <v>17</v>
      </c>
      <c r="S39" s="775">
        <f t="shared" si="12"/>
        <v>100</v>
      </c>
      <c r="T39" s="774" t="s">
        <v>17</v>
      </c>
      <c r="U39" s="775">
        <f t="shared" si="13"/>
        <v>100</v>
      </c>
      <c r="V39" s="774" t="s">
        <v>17</v>
      </c>
      <c r="W39" s="775">
        <f t="shared" si="14"/>
        <v>100</v>
      </c>
      <c r="X39" s="1816"/>
      <c r="Y39" s="3304"/>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5"/>
      <c r="Q40" s="1813">
        <f t="shared" si="11"/>
        <v>111</v>
      </c>
      <c r="R40" s="774" t="s">
        <v>17</v>
      </c>
      <c r="S40" s="775">
        <f t="shared" si="12"/>
        <v>100</v>
      </c>
      <c r="T40" s="774" t="s">
        <v>17</v>
      </c>
      <c r="U40" s="775">
        <f t="shared" si="13"/>
        <v>100</v>
      </c>
      <c r="V40" s="774" t="s">
        <v>17</v>
      </c>
      <c r="W40" s="775">
        <f t="shared" si="14"/>
        <v>100</v>
      </c>
      <c r="X40" s="1816"/>
      <c r="Y40" s="3305"/>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97" t="str">
        <f>A41</f>
        <v>成交单价（元/平方米）</v>
      </c>
      <c r="Q41" s="3297"/>
      <c r="R41" s="3298">
        <f>E41</f>
        <v>0</v>
      </c>
      <c r="S41" s="3298"/>
      <c r="T41" s="3298">
        <f>G41</f>
        <v>0</v>
      </c>
      <c r="U41" s="3298"/>
      <c r="V41" s="3298">
        <f>I41</f>
        <v>0</v>
      </c>
      <c r="W41" s="3298"/>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97" t="str">
        <f>A42</f>
        <v>比较价值（元/平方米）</v>
      </c>
      <c r="Q42" s="3297"/>
      <c r="R42" s="3298" t="e">
        <f>IF(F1="售价",ROUND(PRODUCT(R41,AA7:AA40),0),ROUND(PRODUCT(R41,AA7:AA40),1))</f>
        <v>#DIV/0!</v>
      </c>
      <c r="S42" s="3298"/>
      <c r="T42" s="3298" t="e">
        <f>IF(F1="售价",ROUND(PRODUCT(T41,AB7:AB40),0),ROUND(PRODUCT(T41,AB7:AB40),1))</f>
        <v>#DIV/0!</v>
      </c>
      <c r="U42" s="3298"/>
      <c r="V42" s="3298" t="e">
        <f>IF(F1="售价",ROUND(PRODUCT(V41,AC7:AC40),0),ROUND(PRODUCT(V41,AC7:AC40),1))</f>
        <v>#DIV/0!</v>
      </c>
      <c r="W42" s="3298"/>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94" t="str">
        <f>A43</f>
        <v>估价对象XX用房的比较价值（楼面单价，元/平方米）</v>
      </c>
      <c r="Q43" s="3295"/>
      <c r="R43" s="3296" t="e">
        <f>IF(F1="售价",ROUND(AVERAGE(R42:V42),0),ROUND(AVERAGE(R42:V42),1))</f>
        <v>#DIV/0!</v>
      </c>
      <c r="S43" s="3296"/>
      <c r="T43" s="3296"/>
      <c r="U43" s="3296"/>
      <c r="V43" s="3296"/>
      <c r="W43" s="329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67" t="s">
        <v>2646</v>
      </c>
      <c r="S4" s="3268"/>
      <c r="T4" s="3267" t="s">
        <v>2647</v>
      </c>
      <c r="U4" s="3268"/>
      <c r="V4" s="3292" t="s">
        <v>2648</v>
      </c>
      <c r="W4" s="3292"/>
      <c r="X4" s="1816"/>
      <c r="Y4" s="3267" t="s">
        <v>2650</v>
      </c>
      <c r="Z4" s="3268"/>
      <c r="AA4" s="3262" t="s">
        <v>2646</v>
      </c>
      <c r="AB4" s="3263" t="s">
        <v>2647</v>
      </c>
      <c r="AC4" s="3262" t="s">
        <v>2648</v>
      </c>
    </row>
    <row r="5" spans="1:29" ht="15">
      <c r="A5" s="404"/>
      <c r="B5" s="405"/>
      <c r="C5" s="3273" t="s">
        <v>2541</v>
      </c>
      <c r="D5" s="3274"/>
      <c r="E5" s="3271" t="s">
        <v>2542</v>
      </c>
      <c r="F5" s="3272"/>
      <c r="G5" s="3273" t="s">
        <v>2543</v>
      </c>
      <c r="H5" s="3274"/>
      <c r="I5" s="3273" t="s">
        <v>2544</v>
      </c>
      <c r="J5" s="3274"/>
      <c r="K5" s="610"/>
      <c r="L5" s="1133"/>
      <c r="M5" s="1134"/>
      <c r="N5" s="1134"/>
      <c r="O5" s="1134"/>
      <c r="P5" s="3286"/>
      <c r="Q5" s="3287"/>
      <c r="R5" s="3269"/>
      <c r="S5" s="3270"/>
      <c r="T5" s="3269"/>
      <c r="U5" s="3270"/>
      <c r="V5" s="3292"/>
      <c r="W5" s="3292"/>
      <c r="X5" s="1816"/>
      <c r="Y5" s="3269"/>
      <c r="Z5" s="3270"/>
      <c r="AA5" s="3263"/>
      <c r="AB5" s="3263"/>
      <c r="AC5" s="3263"/>
    </row>
    <row r="6" spans="1:29" ht="15.75" thickBot="1">
      <c r="A6" s="406"/>
      <c r="B6" s="407"/>
      <c r="C6" s="3275" t="s">
        <v>2545</v>
      </c>
      <c r="D6" s="3276"/>
      <c r="E6" s="3277" t="s">
        <v>2545</v>
      </c>
      <c r="F6" s="3278"/>
      <c r="G6" s="3275" t="s">
        <v>2545</v>
      </c>
      <c r="H6" s="3276"/>
      <c r="I6" s="3275" t="s">
        <v>2545</v>
      </c>
      <c r="J6" s="3276"/>
      <c r="K6" s="610" t="s">
        <v>2546</v>
      </c>
      <c r="L6" s="1133"/>
      <c r="M6" s="1134"/>
      <c r="N6" s="1134"/>
      <c r="O6" s="1134"/>
      <c r="P6" s="3288"/>
      <c r="Q6" s="3289"/>
      <c r="R6" s="3269"/>
      <c r="S6" s="3270"/>
      <c r="T6" s="3290"/>
      <c r="U6" s="3291"/>
      <c r="V6" s="3292"/>
      <c r="W6" s="3292"/>
      <c r="X6" s="1816"/>
      <c r="Y6" s="3290"/>
      <c r="Z6" s="3291"/>
      <c r="AA6" s="3264"/>
      <c r="AB6" s="3264"/>
      <c r="AC6" s="3264"/>
    </row>
    <row r="7" spans="1:29" s="117" customFormat="1" ht="15.75" thickBot="1">
      <c r="A7" s="408" t="s">
        <v>2547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5" t="s">
        <v>2548</v>
      </c>
      <c r="Q7" s="3293"/>
      <c r="R7" s="770" t="s">
        <v>17</v>
      </c>
      <c r="S7" s="771">
        <f t="shared" ref="S7:S14" si="0">F7</f>
        <v>0</v>
      </c>
      <c r="T7" s="770" t="s">
        <v>17</v>
      </c>
      <c r="U7" s="771">
        <f t="shared" ref="U7:U14" si="1">H7</f>
        <v>0</v>
      </c>
      <c r="V7" s="770" t="s">
        <v>17</v>
      </c>
      <c r="W7" s="771">
        <f t="shared" ref="W7:W14" si="2">J7</f>
        <v>0</v>
      </c>
      <c r="X7" s="772"/>
      <c r="Y7" s="3265" t="s">
        <v>2548</v>
      </c>
      <c r="Z7" s="326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5" t="s">
        <v>2551</v>
      </c>
      <c r="Q8" s="3266"/>
      <c r="R8" s="770" t="s">
        <v>17</v>
      </c>
      <c r="S8" s="771">
        <f t="shared" si="0"/>
        <v>0</v>
      </c>
      <c r="T8" s="770" t="s">
        <v>17</v>
      </c>
      <c r="U8" s="771">
        <f t="shared" si="1"/>
        <v>0</v>
      </c>
      <c r="V8" s="770" t="s">
        <v>17</v>
      </c>
      <c r="W8" s="771">
        <f t="shared" si="2"/>
        <v>0</v>
      </c>
      <c r="X8" s="772"/>
      <c r="Y8" s="3265" t="s">
        <v>2551</v>
      </c>
      <c r="Z8" s="326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97" t="s">
        <v>2554</v>
      </c>
      <c r="Q9" s="1798" t="str">
        <f t="shared" ref="Q9:Q14" si="6">B9</f>
        <v>用途</v>
      </c>
      <c r="R9" s="770" t="s">
        <v>17</v>
      </c>
      <c r="S9" s="771">
        <f t="shared" si="0"/>
        <v>100</v>
      </c>
      <c r="T9" s="770" t="s">
        <v>17</v>
      </c>
      <c r="U9" s="771">
        <f t="shared" si="1"/>
        <v>100</v>
      </c>
      <c r="V9" s="770" t="s">
        <v>17</v>
      </c>
      <c r="W9" s="771">
        <f t="shared" si="2"/>
        <v>100</v>
      </c>
      <c r="X9" s="772"/>
      <c r="Y9" s="3101"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97"/>
      <c r="Q10" s="1798"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97"/>
      <c r="Q11" s="1798">
        <f t="shared" si="6"/>
        <v>111</v>
      </c>
      <c r="R11" s="770" t="s">
        <v>17</v>
      </c>
      <c r="S11" s="771">
        <f t="shared" si="0"/>
        <v>100</v>
      </c>
      <c r="T11" s="770" t="s">
        <v>17</v>
      </c>
      <c r="U11" s="771">
        <f t="shared" si="1"/>
        <v>100</v>
      </c>
      <c r="V11" s="770" t="s">
        <v>17</v>
      </c>
      <c r="W11" s="771">
        <f t="shared" si="2"/>
        <v>100</v>
      </c>
      <c r="X11" s="772"/>
      <c r="Y11" s="31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97"/>
      <c r="Q12" s="1798">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97"/>
      <c r="Q13" s="1798">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99" t="s">
        <v>2559</v>
      </c>
      <c r="Q14" s="1813" t="str">
        <f t="shared" si="6"/>
        <v>交通便捷度</v>
      </c>
      <c r="R14" s="774" t="s">
        <v>17</v>
      </c>
      <c r="S14" s="775">
        <f t="shared" si="0"/>
        <v>100</v>
      </c>
      <c r="T14" s="774" t="s">
        <v>17</v>
      </c>
      <c r="U14" s="775">
        <f t="shared" si="1"/>
        <v>100</v>
      </c>
      <c r="V14" s="774" t="s">
        <v>17</v>
      </c>
      <c r="W14" s="775">
        <f t="shared" si="2"/>
        <v>100</v>
      </c>
      <c r="X14" s="1816"/>
      <c r="Y14" s="3299"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300"/>
      <c r="Q15" s="1813"/>
      <c r="R15" s="774"/>
      <c r="S15" s="775"/>
      <c r="T15" s="774"/>
      <c r="U15" s="775"/>
      <c r="V15" s="774"/>
      <c r="W15" s="775"/>
      <c r="X15" s="1816"/>
      <c r="Y15" s="3300"/>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300"/>
      <c r="Q16" s="1813" t="str">
        <f>B16</f>
        <v>公共配套设施</v>
      </c>
      <c r="R16" s="774" t="s">
        <v>17</v>
      </c>
      <c r="S16" s="775">
        <f>F16</f>
        <v>100</v>
      </c>
      <c r="T16" s="774" t="s">
        <v>17</v>
      </c>
      <c r="U16" s="775">
        <f>H16</f>
        <v>100</v>
      </c>
      <c r="V16" s="774" t="s">
        <v>17</v>
      </c>
      <c r="W16" s="775">
        <f>J16</f>
        <v>100</v>
      </c>
      <c r="X16" s="1816"/>
      <c r="Y16" s="3300"/>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300"/>
      <c r="Q17" s="1813"/>
      <c r="R17" s="774"/>
      <c r="S17" s="775"/>
      <c r="T17" s="774"/>
      <c r="U17" s="775"/>
      <c r="V17" s="774"/>
      <c r="W17" s="775"/>
      <c r="X17" s="1816"/>
      <c r="Y17" s="3300"/>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300"/>
      <c r="Q18" s="1813" t="str">
        <f>B18</f>
        <v>基础设施水平</v>
      </c>
      <c r="R18" s="774" t="s">
        <v>17</v>
      </c>
      <c r="S18" s="775">
        <f>F18</f>
        <v>100</v>
      </c>
      <c r="T18" s="774" t="s">
        <v>17</v>
      </c>
      <c r="U18" s="775">
        <f>H18</f>
        <v>100</v>
      </c>
      <c r="V18" s="774" t="s">
        <v>17</v>
      </c>
      <c r="W18" s="775">
        <f>J18</f>
        <v>100</v>
      </c>
      <c r="X18" s="1816"/>
      <c r="Y18" s="3300"/>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300"/>
      <c r="Q19" s="1813"/>
      <c r="R19" s="774"/>
      <c r="S19" s="775"/>
      <c r="T19" s="774"/>
      <c r="U19" s="775"/>
      <c r="V19" s="774"/>
      <c r="W19" s="775"/>
      <c r="X19" s="1816"/>
      <c r="Y19" s="3300"/>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300"/>
      <c r="Q20" s="1813" t="str">
        <f>B20</f>
        <v>自然及人文环境</v>
      </c>
      <c r="R20" s="774" t="s">
        <v>17</v>
      </c>
      <c r="S20" s="775">
        <f>F20</f>
        <v>100</v>
      </c>
      <c r="T20" s="774" t="s">
        <v>17</v>
      </c>
      <c r="U20" s="775">
        <f>H20</f>
        <v>100</v>
      </c>
      <c r="V20" s="774" t="s">
        <v>17</v>
      </c>
      <c r="W20" s="775">
        <f>J20</f>
        <v>100</v>
      </c>
      <c r="X20" s="1816"/>
      <c r="Y20" s="330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300"/>
      <c r="Q21" s="1813"/>
      <c r="R21" s="774"/>
      <c r="S21" s="775"/>
      <c r="T21" s="774"/>
      <c r="U21" s="775"/>
      <c r="V21" s="774"/>
      <c r="W21" s="775"/>
      <c r="X21" s="1816"/>
      <c r="Y21" s="3300"/>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300"/>
      <c r="Q22" s="1813" t="str">
        <f>B22</f>
        <v>楼层</v>
      </c>
      <c r="R22" s="774" t="s">
        <v>17</v>
      </c>
      <c r="S22" s="775">
        <f>F22</f>
        <v>100</v>
      </c>
      <c r="T22" s="774" t="s">
        <v>17</v>
      </c>
      <c r="U22" s="775">
        <f>H22</f>
        <v>100</v>
      </c>
      <c r="V22" s="774" t="s">
        <v>17</v>
      </c>
      <c r="W22" s="775">
        <f>J22</f>
        <v>100</v>
      </c>
      <c r="X22" s="1816"/>
      <c r="Y22" s="330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300"/>
      <c r="Q23" s="1813">
        <f>B23</f>
        <v>111</v>
      </c>
      <c r="R23" s="774" t="s">
        <v>17</v>
      </c>
      <c r="S23" s="775">
        <f>F23</f>
        <v>100</v>
      </c>
      <c r="T23" s="774" t="s">
        <v>17</v>
      </c>
      <c r="U23" s="775">
        <f>H23</f>
        <v>100</v>
      </c>
      <c r="V23" s="774" t="s">
        <v>17</v>
      </c>
      <c r="W23" s="775">
        <f>J23</f>
        <v>100</v>
      </c>
      <c r="X23" s="1816"/>
      <c r="Y23" s="330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300"/>
      <c r="Q24" s="1813">
        <f t="shared" ref="Q24:Q36" si="11">B24</f>
        <v>111</v>
      </c>
      <c r="R24" s="774" t="s">
        <v>17</v>
      </c>
      <c r="S24" s="775">
        <f>F24</f>
        <v>100</v>
      </c>
      <c r="T24" s="774" t="s">
        <v>17</v>
      </c>
      <c r="U24" s="775">
        <f>H24</f>
        <v>100</v>
      </c>
      <c r="V24" s="774" t="s">
        <v>17</v>
      </c>
      <c r="W24" s="775">
        <f>J24</f>
        <v>100</v>
      </c>
      <c r="X24" s="1816"/>
      <c r="Y24" s="330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300"/>
      <c r="Q25" s="1798">
        <f t="shared" si="11"/>
        <v>111</v>
      </c>
      <c r="R25" s="770" t="s">
        <v>17</v>
      </c>
      <c r="S25" s="771">
        <f>F25</f>
        <v>100</v>
      </c>
      <c r="T25" s="770" t="s">
        <v>17</v>
      </c>
      <c r="U25" s="771">
        <f>H25</f>
        <v>100</v>
      </c>
      <c r="V25" s="770" t="s">
        <v>17</v>
      </c>
      <c r="W25" s="771">
        <f>J25</f>
        <v>100</v>
      </c>
      <c r="X25" s="772"/>
      <c r="Y25" s="3300"/>
      <c r="Z25" s="55">
        <f>Q25</f>
        <v>111</v>
      </c>
      <c r="AA25" s="1814">
        <f>D25/F25</f>
        <v>1</v>
      </c>
      <c r="AB25" s="1814">
        <f>D25/H25</f>
        <v>1</v>
      </c>
      <c r="AC25" s="1814">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3"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304"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04"/>
      <c r="Q27" s="776" t="str">
        <f t="shared" si="11"/>
        <v>项目停车位配比</v>
      </c>
      <c r="R27" s="777" t="s">
        <v>17</v>
      </c>
      <c r="S27" s="778">
        <f t="shared" si="12"/>
        <v>100</v>
      </c>
      <c r="T27" s="777" t="s">
        <v>17</v>
      </c>
      <c r="U27" s="778">
        <f t="shared" si="13"/>
        <v>100</v>
      </c>
      <c r="V27" s="777" t="s">
        <v>17</v>
      </c>
      <c r="W27" s="778">
        <f t="shared" si="14"/>
        <v>100</v>
      </c>
      <c r="X27" s="779"/>
      <c r="Y27" s="3304"/>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304"/>
      <c r="Q28" s="1813" t="str">
        <f t="shared" si="11"/>
        <v>公共部分装修</v>
      </c>
      <c r="R28" s="774" t="s">
        <v>17</v>
      </c>
      <c r="S28" s="775">
        <f t="shared" si="12"/>
        <v>100</v>
      </c>
      <c r="T28" s="774" t="s">
        <v>17</v>
      </c>
      <c r="U28" s="775">
        <f t="shared" si="13"/>
        <v>100</v>
      </c>
      <c r="V28" s="774" t="s">
        <v>17</v>
      </c>
      <c r="W28" s="775">
        <f t="shared" si="14"/>
        <v>100</v>
      </c>
      <c r="X28" s="1816"/>
      <c r="Y28" s="3304"/>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304"/>
      <c r="Q29" s="1813" t="str">
        <f t="shared" si="11"/>
        <v>成新率</v>
      </c>
      <c r="R29" s="774" t="s">
        <v>17</v>
      </c>
      <c r="S29" s="775" t="e">
        <f t="shared" si="12"/>
        <v>#N/A</v>
      </c>
      <c r="T29" s="774" t="s">
        <v>17</v>
      </c>
      <c r="U29" s="775" t="e">
        <f t="shared" si="13"/>
        <v>#N/A</v>
      </c>
      <c r="V29" s="774" t="s">
        <v>17</v>
      </c>
      <c r="W29" s="775" t="e">
        <f t="shared" si="14"/>
        <v>#N/A</v>
      </c>
      <c r="X29" s="1816"/>
      <c r="Y29" s="3304"/>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304"/>
      <c r="Q30" s="1813" t="str">
        <f t="shared" si="11"/>
        <v>物业等级</v>
      </c>
      <c r="R30" s="774" t="s">
        <v>17</v>
      </c>
      <c r="S30" s="775">
        <f t="shared" si="12"/>
        <v>100</v>
      </c>
      <c r="T30" s="774" t="s">
        <v>17</v>
      </c>
      <c r="U30" s="775">
        <f t="shared" si="13"/>
        <v>100</v>
      </c>
      <c r="V30" s="774" t="s">
        <v>17</v>
      </c>
      <c r="W30" s="775">
        <f t="shared" si="14"/>
        <v>100</v>
      </c>
      <c r="X30" s="1816"/>
      <c r="Y30" s="3304"/>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304"/>
      <c r="Q31" s="1798" t="str">
        <f t="shared" si="11"/>
        <v>停车位面积</v>
      </c>
      <c r="R31" s="770" t="s">
        <v>17</v>
      </c>
      <c r="S31" s="771" t="e">
        <f t="shared" si="12"/>
        <v>#N/A</v>
      </c>
      <c r="T31" s="770" t="s">
        <v>17</v>
      </c>
      <c r="U31" s="771" t="e">
        <f t="shared" si="13"/>
        <v>#N/A</v>
      </c>
      <c r="V31" s="770" t="s">
        <v>17</v>
      </c>
      <c r="W31" s="771" t="e">
        <f t="shared" si="14"/>
        <v>#N/A</v>
      </c>
      <c r="X31" s="772"/>
      <c r="Y31" s="330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304" t="s">
        <v>2564</v>
      </c>
      <c r="Q32" s="1813" t="str">
        <f t="shared" si="11"/>
        <v>车位类型</v>
      </c>
      <c r="R32" s="774" t="s">
        <v>17</v>
      </c>
      <c r="S32" s="775">
        <f t="shared" si="12"/>
        <v>100</v>
      </c>
      <c r="T32" s="774" t="s">
        <v>17</v>
      </c>
      <c r="U32" s="775">
        <f t="shared" si="13"/>
        <v>100</v>
      </c>
      <c r="V32" s="774" t="s">
        <v>17</v>
      </c>
      <c r="W32" s="775">
        <f t="shared" si="14"/>
        <v>100</v>
      </c>
      <c r="X32" s="1816"/>
      <c r="Y32" s="3304"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304"/>
      <c r="Q33" s="1813" t="str">
        <f t="shared" si="11"/>
        <v>是否直接入户</v>
      </c>
      <c r="R33" s="774" t="s">
        <v>17</v>
      </c>
      <c r="S33" s="775">
        <f t="shared" si="12"/>
        <v>100</v>
      </c>
      <c r="T33" s="774" t="s">
        <v>17</v>
      </c>
      <c r="U33" s="775">
        <f t="shared" si="13"/>
        <v>100</v>
      </c>
      <c r="V33" s="774" t="s">
        <v>17</v>
      </c>
      <c r="W33" s="775">
        <f t="shared" si="14"/>
        <v>100</v>
      </c>
      <c r="X33" s="1816"/>
      <c r="Y33" s="330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04"/>
      <c r="Q34" s="1813">
        <f t="shared" si="11"/>
        <v>111</v>
      </c>
      <c r="R34" s="774" t="s">
        <v>17</v>
      </c>
      <c r="S34" s="775">
        <f t="shared" si="12"/>
        <v>100</v>
      </c>
      <c r="T34" s="774" t="s">
        <v>17</v>
      </c>
      <c r="U34" s="775">
        <f t="shared" si="13"/>
        <v>100</v>
      </c>
      <c r="V34" s="774" t="s">
        <v>17</v>
      </c>
      <c r="W34" s="775">
        <f t="shared" si="14"/>
        <v>100</v>
      </c>
      <c r="X34" s="1816"/>
      <c r="Y34" s="330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04"/>
      <c r="Q35" s="776">
        <f t="shared" si="11"/>
        <v>111</v>
      </c>
      <c r="R35" s="777" t="s">
        <v>17</v>
      </c>
      <c r="S35" s="778">
        <f t="shared" si="12"/>
        <v>100</v>
      </c>
      <c r="T35" s="777" t="s">
        <v>17</v>
      </c>
      <c r="U35" s="778">
        <f t="shared" si="13"/>
        <v>100</v>
      </c>
      <c r="V35" s="777" t="s">
        <v>17</v>
      </c>
      <c r="W35" s="778">
        <f t="shared" si="14"/>
        <v>100</v>
      </c>
      <c r="X35" s="779"/>
      <c r="Y35" s="330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04"/>
      <c r="Q36" s="1813">
        <f t="shared" si="11"/>
        <v>111</v>
      </c>
      <c r="R36" s="774" t="s">
        <v>17</v>
      </c>
      <c r="S36" s="775">
        <f t="shared" si="12"/>
        <v>100</v>
      </c>
      <c r="T36" s="774" t="s">
        <v>17</v>
      </c>
      <c r="U36" s="775">
        <f t="shared" si="13"/>
        <v>100</v>
      </c>
      <c r="V36" s="774" t="s">
        <v>17</v>
      </c>
      <c r="W36" s="775">
        <f t="shared" si="14"/>
        <v>100</v>
      </c>
      <c r="X36" s="1816"/>
      <c r="Y36" s="3304"/>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97" t="str">
        <f>A37</f>
        <v>成交单价</v>
      </c>
      <c r="Q37" s="3297"/>
      <c r="R37" s="3298">
        <f>E37</f>
        <v>0</v>
      </c>
      <c r="S37" s="3298"/>
      <c r="T37" s="3298">
        <f>G37</f>
        <v>0</v>
      </c>
      <c r="U37" s="3298"/>
      <c r="V37" s="3298">
        <f>I37</f>
        <v>0</v>
      </c>
      <c r="W37" s="3298"/>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97" t="str">
        <f>A38</f>
        <v>比较价值（元/平方米）</v>
      </c>
      <c r="Q38" s="3297"/>
      <c r="R38" s="3298" t="e">
        <f>IF(F1="售价",ROUND(PRODUCT(R37,AA7:AA36),0),ROUND(PRODUCT(R37,AA7:AA36),1))</f>
        <v>#DIV/0!</v>
      </c>
      <c r="S38" s="3298"/>
      <c r="T38" s="3298" t="e">
        <f>IF(F1="售价",ROUND(PRODUCT(T37,AB7:AB36),0),ROUND(PRODUCT(T37,AB7:AB36),1))</f>
        <v>#DIV/0!</v>
      </c>
      <c r="U38" s="3298"/>
      <c r="V38" s="3298" t="e">
        <f>IF(F1="售价",ROUND(PRODUCT(V37,AC7:AC36),0),ROUND(PRODUCT(V37,AC7:AC36),1))</f>
        <v>#DIV/0!</v>
      </c>
      <c r="W38" s="3298"/>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94" t="str">
        <f>A39</f>
        <v>估价对象XX用房的比较价值（楼面单价，元/平方米）</v>
      </c>
      <c r="Q39" s="3295"/>
      <c r="R39" s="3296" t="e">
        <f>IF(F1="售价",ROUND(AVERAGE(R38:V38),0),ROUND(AVERAGE(R38:V38),1))</f>
        <v>#DIV/0!</v>
      </c>
      <c r="S39" s="3296"/>
      <c r="T39" s="3296"/>
      <c r="U39" s="3296"/>
      <c r="V39" s="3296"/>
      <c r="W39" s="329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67" t="s">
        <v>2646</v>
      </c>
      <c r="S4" s="3268"/>
      <c r="T4" s="3267" t="s">
        <v>2647</v>
      </c>
      <c r="U4" s="3268"/>
      <c r="V4" s="3292" t="s">
        <v>2648</v>
      </c>
      <c r="W4" s="3292"/>
      <c r="X4" s="1816"/>
      <c r="Y4" s="3267" t="s">
        <v>2650</v>
      </c>
      <c r="Z4" s="3268"/>
      <c r="AA4" s="3262" t="s">
        <v>2646</v>
      </c>
      <c r="AB4" s="3263" t="s">
        <v>2647</v>
      </c>
      <c r="AC4" s="3262" t="s">
        <v>2648</v>
      </c>
    </row>
    <row r="5" spans="1:29" ht="15">
      <c r="A5" s="404"/>
      <c r="B5" s="405"/>
      <c r="C5" s="3273" t="s">
        <v>2541</v>
      </c>
      <c r="D5" s="3274"/>
      <c r="E5" s="3271" t="s">
        <v>2542</v>
      </c>
      <c r="F5" s="3272"/>
      <c r="G5" s="3273" t="s">
        <v>2543</v>
      </c>
      <c r="H5" s="3274"/>
      <c r="I5" s="3273" t="s">
        <v>2544</v>
      </c>
      <c r="J5" s="3274"/>
      <c r="K5" s="610"/>
      <c r="L5" s="1133"/>
      <c r="M5" s="1134"/>
      <c r="N5" s="1134"/>
      <c r="O5" s="1134"/>
      <c r="P5" s="3286"/>
      <c r="Q5" s="3287"/>
      <c r="R5" s="3269"/>
      <c r="S5" s="3270"/>
      <c r="T5" s="3269"/>
      <c r="U5" s="3270"/>
      <c r="V5" s="3292"/>
      <c r="W5" s="3292"/>
      <c r="X5" s="1816"/>
      <c r="Y5" s="3269"/>
      <c r="Z5" s="3270"/>
      <c r="AA5" s="3263"/>
      <c r="AB5" s="3263"/>
      <c r="AC5" s="3263"/>
    </row>
    <row r="6" spans="1:29" ht="15.75" thickBot="1">
      <c r="A6" s="406"/>
      <c r="B6" s="407"/>
      <c r="C6" s="3275" t="s">
        <v>2545</v>
      </c>
      <c r="D6" s="3276"/>
      <c r="E6" s="3277" t="s">
        <v>2545</v>
      </c>
      <c r="F6" s="3278"/>
      <c r="G6" s="3275" t="s">
        <v>2545</v>
      </c>
      <c r="H6" s="3276"/>
      <c r="I6" s="3275" t="s">
        <v>2545</v>
      </c>
      <c r="J6" s="3276"/>
      <c r="K6" s="610" t="s">
        <v>2546</v>
      </c>
      <c r="L6" s="1133"/>
      <c r="M6" s="1134"/>
      <c r="N6" s="1134"/>
      <c r="O6" s="1134"/>
      <c r="P6" s="3288"/>
      <c r="Q6" s="3289"/>
      <c r="R6" s="3269"/>
      <c r="S6" s="3270"/>
      <c r="T6" s="3290"/>
      <c r="U6" s="3291"/>
      <c r="V6" s="3292"/>
      <c r="W6" s="3292"/>
      <c r="X6" s="1816"/>
      <c r="Y6" s="3290"/>
      <c r="Z6" s="3291"/>
      <c r="AA6" s="3264"/>
      <c r="AB6" s="3264"/>
      <c r="AC6" s="3264"/>
    </row>
    <row r="7" spans="1:29" s="117" customFormat="1" ht="15.75" thickBot="1">
      <c r="A7" s="408" t="s">
        <v>2547</v>
      </c>
      <c r="B7" s="409"/>
      <c r="C7" s="410">
        <f>'数据-取费表'!B2</f>
        <v>43598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65" t="s">
        <v>2548</v>
      </c>
      <c r="Q7" s="3293"/>
      <c r="R7" s="770" t="s">
        <v>17</v>
      </c>
      <c r="S7" s="771">
        <f t="shared" ref="S7:S14" si="0">F7</f>
        <v>0</v>
      </c>
      <c r="T7" s="770" t="s">
        <v>17</v>
      </c>
      <c r="U7" s="771">
        <f t="shared" ref="U7:U14" si="1">H7</f>
        <v>0</v>
      </c>
      <c r="V7" s="770" t="s">
        <v>17</v>
      </c>
      <c r="W7" s="771">
        <f t="shared" ref="W7:W14" si="2">J7</f>
        <v>0</v>
      </c>
      <c r="X7" s="772"/>
      <c r="Y7" s="3265" t="s">
        <v>2548</v>
      </c>
      <c r="Z7" s="326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5" t="s">
        <v>2551</v>
      </c>
      <c r="Q8" s="3266"/>
      <c r="R8" s="770" t="s">
        <v>17</v>
      </c>
      <c r="S8" s="771">
        <f t="shared" si="0"/>
        <v>0</v>
      </c>
      <c r="T8" s="770" t="s">
        <v>17</v>
      </c>
      <c r="U8" s="771">
        <f t="shared" si="1"/>
        <v>0</v>
      </c>
      <c r="V8" s="770" t="s">
        <v>17</v>
      </c>
      <c r="W8" s="771">
        <f t="shared" si="2"/>
        <v>0</v>
      </c>
      <c r="X8" s="772"/>
      <c r="Y8" s="3265" t="s">
        <v>2551</v>
      </c>
      <c r="Z8" s="326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97" t="s">
        <v>2554</v>
      </c>
      <c r="Q9" s="1798" t="str">
        <f t="shared" ref="Q9:Q14" si="6">B9</f>
        <v>用途</v>
      </c>
      <c r="R9" s="770" t="s">
        <v>17</v>
      </c>
      <c r="S9" s="771">
        <f t="shared" si="0"/>
        <v>100</v>
      </c>
      <c r="T9" s="770" t="s">
        <v>17</v>
      </c>
      <c r="U9" s="771">
        <f t="shared" si="1"/>
        <v>100</v>
      </c>
      <c r="V9" s="770" t="s">
        <v>17</v>
      </c>
      <c r="W9" s="771">
        <f t="shared" si="2"/>
        <v>100</v>
      </c>
      <c r="X9" s="772"/>
      <c r="Y9" s="3101"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97"/>
      <c r="Q10" s="1798"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97"/>
      <c r="Q11" s="1798">
        <f t="shared" si="6"/>
        <v>111</v>
      </c>
      <c r="R11" s="770" t="s">
        <v>17</v>
      </c>
      <c r="S11" s="771">
        <f t="shared" si="0"/>
        <v>100</v>
      </c>
      <c r="T11" s="770" t="s">
        <v>17</v>
      </c>
      <c r="U11" s="771">
        <f t="shared" si="1"/>
        <v>100</v>
      </c>
      <c r="V11" s="770" t="s">
        <v>17</v>
      </c>
      <c r="W11" s="771">
        <f t="shared" si="2"/>
        <v>100</v>
      </c>
      <c r="X11" s="772"/>
      <c r="Y11" s="3101"/>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97"/>
      <c r="Q12" s="1798">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97"/>
      <c r="Q13" s="1798">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99" t="s">
        <v>2559</v>
      </c>
      <c r="Q14" s="1813" t="str">
        <f t="shared" si="6"/>
        <v>交通便捷度</v>
      </c>
      <c r="R14" s="774" t="s">
        <v>17</v>
      </c>
      <c r="S14" s="775">
        <f t="shared" si="0"/>
        <v>100</v>
      </c>
      <c r="T14" s="774" t="s">
        <v>17</v>
      </c>
      <c r="U14" s="775">
        <f t="shared" si="1"/>
        <v>100</v>
      </c>
      <c r="V14" s="774" t="s">
        <v>17</v>
      </c>
      <c r="W14" s="775">
        <f t="shared" si="2"/>
        <v>100</v>
      </c>
      <c r="X14" s="1816"/>
      <c r="Y14" s="3299"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300"/>
      <c r="Q15" s="1813"/>
      <c r="R15" s="774"/>
      <c r="S15" s="775"/>
      <c r="T15" s="774"/>
      <c r="U15" s="775"/>
      <c r="V15" s="774"/>
      <c r="W15" s="775"/>
      <c r="X15" s="1816"/>
      <c r="Y15" s="3300"/>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300"/>
      <c r="Q16" s="1813" t="str">
        <f>B16</f>
        <v>公共配套设施</v>
      </c>
      <c r="R16" s="774" t="s">
        <v>17</v>
      </c>
      <c r="S16" s="775">
        <f>F16</f>
        <v>100</v>
      </c>
      <c r="T16" s="774" t="s">
        <v>17</v>
      </c>
      <c r="U16" s="775">
        <f>H16</f>
        <v>100</v>
      </c>
      <c r="V16" s="774" t="s">
        <v>17</v>
      </c>
      <c r="W16" s="775">
        <f>J16</f>
        <v>100</v>
      </c>
      <c r="X16" s="1816"/>
      <c r="Y16" s="3300"/>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300"/>
      <c r="Q17" s="1813"/>
      <c r="R17" s="774"/>
      <c r="S17" s="775"/>
      <c r="T17" s="774"/>
      <c r="U17" s="775"/>
      <c r="V17" s="774"/>
      <c r="W17" s="775"/>
      <c r="X17" s="1816"/>
      <c r="Y17" s="3300"/>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300"/>
      <c r="Q18" s="1813" t="str">
        <f>B18</f>
        <v>基础设施水平</v>
      </c>
      <c r="R18" s="774" t="s">
        <v>17</v>
      </c>
      <c r="S18" s="775">
        <f>F18</f>
        <v>100</v>
      </c>
      <c r="T18" s="774" t="s">
        <v>17</v>
      </c>
      <c r="U18" s="775">
        <f>H18</f>
        <v>100</v>
      </c>
      <c r="V18" s="774" t="s">
        <v>17</v>
      </c>
      <c r="W18" s="775">
        <f>J18</f>
        <v>100</v>
      </c>
      <c r="X18" s="1816"/>
      <c r="Y18" s="3300"/>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300"/>
      <c r="Q19" s="1813"/>
      <c r="R19" s="774"/>
      <c r="S19" s="775"/>
      <c r="T19" s="774"/>
      <c r="U19" s="775"/>
      <c r="V19" s="774"/>
      <c r="W19" s="775"/>
      <c r="X19" s="1816"/>
      <c r="Y19" s="3300"/>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300"/>
      <c r="Q20" s="1813" t="str">
        <f>B20</f>
        <v>自然及人文环境</v>
      </c>
      <c r="R20" s="774" t="s">
        <v>17</v>
      </c>
      <c r="S20" s="775">
        <f>F20</f>
        <v>100</v>
      </c>
      <c r="T20" s="774" t="s">
        <v>17</v>
      </c>
      <c r="U20" s="775">
        <f>H20</f>
        <v>100</v>
      </c>
      <c r="V20" s="774" t="s">
        <v>17</v>
      </c>
      <c r="W20" s="775">
        <f>J20</f>
        <v>100</v>
      </c>
      <c r="X20" s="1816"/>
      <c r="Y20" s="330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300"/>
      <c r="Q21" s="1813"/>
      <c r="R21" s="774"/>
      <c r="S21" s="775"/>
      <c r="T21" s="774"/>
      <c r="U21" s="775"/>
      <c r="V21" s="774"/>
      <c r="W21" s="775"/>
      <c r="X21" s="1816"/>
      <c r="Y21" s="3300"/>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300"/>
      <c r="Q22" s="1813" t="str">
        <f>B22</f>
        <v>楼层</v>
      </c>
      <c r="R22" s="774" t="s">
        <v>17</v>
      </c>
      <c r="S22" s="775">
        <f>F22</f>
        <v>100</v>
      </c>
      <c r="T22" s="774" t="s">
        <v>17</v>
      </c>
      <c r="U22" s="775">
        <f>H22</f>
        <v>100</v>
      </c>
      <c r="V22" s="774" t="s">
        <v>17</v>
      </c>
      <c r="W22" s="775">
        <f>J22</f>
        <v>100</v>
      </c>
      <c r="X22" s="1816"/>
      <c r="Y22" s="3300"/>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300"/>
      <c r="Q23" s="1813">
        <f>B23</f>
        <v>111</v>
      </c>
      <c r="R23" s="774" t="s">
        <v>17</v>
      </c>
      <c r="S23" s="775">
        <f>F23</f>
        <v>100</v>
      </c>
      <c r="T23" s="774" t="s">
        <v>17</v>
      </c>
      <c r="U23" s="775">
        <f>H23</f>
        <v>100</v>
      </c>
      <c r="V23" s="774" t="s">
        <v>17</v>
      </c>
      <c r="W23" s="775">
        <f>J23</f>
        <v>100</v>
      </c>
      <c r="X23" s="1816"/>
      <c r="Y23" s="3300"/>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300"/>
      <c r="Q24" s="1813">
        <f t="shared" ref="Q24:Q34" si="11">B24</f>
        <v>111</v>
      </c>
      <c r="R24" s="774" t="s">
        <v>17</v>
      </c>
      <c r="S24" s="775">
        <f>F24</f>
        <v>100</v>
      </c>
      <c r="T24" s="774" t="s">
        <v>17</v>
      </c>
      <c r="U24" s="775">
        <f>H24</f>
        <v>100</v>
      </c>
      <c r="V24" s="774" t="s">
        <v>17</v>
      </c>
      <c r="W24" s="775">
        <f>J24</f>
        <v>100</v>
      </c>
      <c r="X24" s="1816"/>
      <c r="Y24" s="3300"/>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300"/>
      <c r="Q25" s="1798">
        <f t="shared" si="11"/>
        <v>111</v>
      </c>
      <c r="R25" s="770" t="s">
        <v>17</v>
      </c>
      <c r="S25" s="771">
        <f>F25</f>
        <v>100</v>
      </c>
      <c r="T25" s="770" t="s">
        <v>17</v>
      </c>
      <c r="U25" s="771">
        <f>H25</f>
        <v>100</v>
      </c>
      <c r="V25" s="770" t="s">
        <v>17</v>
      </c>
      <c r="W25" s="771">
        <f>J25</f>
        <v>100</v>
      </c>
      <c r="X25" s="772"/>
      <c r="Y25" s="3300"/>
      <c r="Z25" s="55">
        <f>Q25</f>
        <v>111</v>
      </c>
      <c r="AA25" s="1814">
        <f>D25/F25</f>
        <v>1</v>
      </c>
      <c r="AB25" s="1814">
        <f>D25/H25</f>
        <v>1</v>
      </c>
      <c r="AC25" s="1814">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23"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304"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04"/>
      <c r="Q27" s="776" t="str">
        <f t="shared" si="11"/>
        <v>成新率</v>
      </c>
      <c r="R27" s="777" t="s">
        <v>17</v>
      </c>
      <c r="S27" s="778" t="e">
        <f t="shared" si="12"/>
        <v>#N/A</v>
      </c>
      <c r="T27" s="777" t="s">
        <v>17</v>
      </c>
      <c r="U27" s="778" t="e">
        <f t="shared" si="13"/>
        <v>#N/A</v>
      </c>
      <c r="V27" s="777" t="s">
        <v>17</v>
      </c>
      <c r="W27" s="778" t="e">
        <f t="shared" si="14"/>
        <v>#N/A</v>
      </c>
      <c r="X27" s="779"/>
      <c r="Y27" s="3304"/>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04"/>
      <c r="Q28" s="1813" t="str">
        <f t="shared" si="11"/>
        <v>物业等级</v>
      </c>
      <c r="R28" s="774" t="s">
        <v>17</v>
      </c>
      <c r="S28" s="775">
        <f t="shared" si="12"/>
        <v>100</v>
      </c>
      <c r="T28" s="774" t="s">
        <v>17</v>
      </c>
      <c r="U28" s="775">
        <f t="shared" si="13"/>
        <v>100</v>
      </c>
      <c r="V28" s="774" t="s">
        <v>17</v>
      </c>
      <c r="W28" s="775">
        <f t="shared" si="14"/>
        <v>100</v>
      </c>
      <c r="X28" s="1816"/>
      <c r="Y28" s="3304"/>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04"/>
      <c r="Q29" s="1813" t="str">
        <f t="shared" si="11"/>
        <v>有无电梯</v>
      </c>
      <c r="R29" s="774" t="s">
        <v>17</v>
      </c>
      <c r="S29" s="775">
        <f t="shared" si="12"/>
        <v>100</v>
      </c>
      <c r="T29" s="774" t="s">
        <v>17</v>
      </c>
      <c r="U29" s="775">
        <f t="shared" si="13"/>
        <v>100</v>
      </c>
      <c r="V29" s="774" t="s">
        <v>17</v>
      </c>
      <c r="W29" s="775">
        <f t="shared" si="14"/>
        <v>100</v>
      </c>
      <c r="X29" s="1816"/>
      <c r="Y29" s="3304"/>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04"/>
      <c r="Q30" s="1813" t="str">
        <f t="shared" si="11"/>
        <v>建筑面积</v>
      </c>
      <c r="R30" s="774" t="s">
        <v>17</v>
      </c>
      <c r="S30" s="775" t="e">
        <f t="shared" si="12"/>
        <v>#N/A</v>
      </c>
      <c r="T30" s="774" t="s">
        <v>17</v>
      </c>
      <c r="U30" s="775" t="e">
        <f t="shared" si="13"/>
        <v>#N/A</v>
      </c>
      <c r="V30" s="774" t="s">
        <v>17</v>
      </c>
      <c r="W30" s="775" t="e">
        <f t="shared" si="14"/>
        <v>#N/A</v>
      </c>
      <c r="X30" s="1816"/>
      <c r="Y30" s="3304"/>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04"/>
      <c r="Q31" s="1798" t="str">
        <f t="shared" si="11"/>
        <v>是否封闭</v>
      </c>
      <c r="R31" s="770" t="s">
        <v>17</v>
      </c>
      <c r="S31" s="771">
        <f t="shared" si="12"/>
        <v>100</v>
      </c>
      <c r="T31" s="770" t="s">
        <v>17</v>
      </c>
      <c r="U31" s="771">
        <f t="shared" si="13"/>
        <v>100</v>
      </c>
      <c r="V31" s="770" t="s">
        <v>17</v>
      </c>
      <c r="W31" s="771">
        <f t="shared" si="14"/>
        <v>100</v>
      </c>
      <c r="X31" s="772"/>
      <c r="Y31" s="3304"/>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04" t="s">
        <v>2564</v>
      </c>
      <c r="Q32" s="1813">
        <f t="shared" si="11"/>
        <v>111</v>
      </c>
      <c r="R32" s="774" t="s">
        <v>17</v>
      </c>
      <c r="S32" s="775">
        <f t="shared" si="12"/>
        <v>100</v>
      </c>
      <c r="T32" s="774" t="s">
        <v>17</v>
      </c>
      <c r="U32" s="775">
        <f t="shared" si="13"/>
        <v>100</v>
      </c>
      <c r="V32" s="774" t="s">
        <v>17</v>
      </c>
      <c r="W32" s="775">
        <f t="shared" si="14"/>
        <v>100</v>
      </c>
      <c r="X32" s="1816"/>
      <c r="Y32" s="3304"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04"/>
      <c r="Q33" s="1813">
        <f t="shared" si="11"/>
        <v>111</v>
      </c>
      <c r="R33" s="774" t="s">
        <v>17</v>
      </c>
      <c r="S33" s="775">
        <f t="shared" si="12"/>
        <v>100</v>
      </c>
      <c r="T33" s="774" t="s">
        <v>17</v>
      </c>
      <c r="U33" s="775">
        <f t="shared" si="13"/>
        <v>100</v>
      </c>
      <c r="V33" s="774" t="s">
        <v>17</v>
      </c>
      <c r="W33" s="775">
        <f t="shared" si="14"/>
        <v>100</v>
      </c>
      <c r="X33" s="1816"/>
      <c r="Y33" s="3304"/>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304"/>
      <c r="Q34" s="1813">
        <f t="shared" si="11"/>
        <v>111</v>
      </c>
      <c r="R34" s="774" t="s">
        <v>17</v>
      </c>
      <c r="S34" s="775">
        <f t="shared" si="12"/>
        <v>100</v>
      </c>
      <c r="T34" s="774" t="s">
        <v>17</v>
      </c>
      <c r="U34" s="775">
        <f t="shared" si="13"/>
        <v>100</v>
      </c>
      <c r="V34" s="774" t="s">
        <v>17</v>
      </c>
      <c r="W34" s="775">
        <f t="shared" si="14"/>
        <v>100</v>
      </c>
      <c r="X34" s="1816"/>
      <c r="Y34" s="3304"/>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97" t="str">
        <f>A35</f>
        <v>成交单价（元/平方米）</v>
      </c>
      <c r="Q35" s="3297"/>
      <c r="R35" s="3298">
        <f>E35</f>
        <v>0</v>
      </c>
      <c r="S35" s="3298"/>
      <c r="T35" s="3298">
        <f>G35</f>
        <v>0</v>
      </c>
      <c r="U35" s="3298"/>
      <c r="V35" s="3298">
        <f>I35</f>
        <v>0</v>
      </c>
      <c r="W35" s="3298"/>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97" t="str">
        <f>A36</f>
        <v>比较价值（元/平方米）</v>
      </c>
      <c r="Q36" s="3297"/>
      <c r="R36" s="3298" t="e">
        <f>IF(F1="售价",ROUND(PRODUCT(R35,AA7:AA34),0),ROUND(PRODUCT(R35,AA7:AA34),1))</f>
        <v>#DIV/0!</v>
      </c>
      <c r="S36" s="3298"/>
      <c r="T36" s="3298" t="e">
        <f>IF(F1="售价",ROUND(PRODUCT(T35,AB7:AB34),0),ROUND(PRODUCT(T35,AB7:AB34),1))</f>
        <v>#DIV/0!</v>
      </c>
      <c r="U36" s="3298"/>
      <c r="V36" s="3298" t="e">
        <f>IF(F1="售价",ROUND(PRODUCT(V35,AC7:AC34),0),ROUND(PRODUCT(V35,AC7:AC34),1))</f>
        <v>#DIV/0!</v>
      </c>
      <c r="W36" s="3298"/>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94" t="str">
        <f>A37</f>
        <v>估价对象XX用房的比较价值（楼面单价，元/平方米）</v>
      </c>
      <c r="Q37" s="3295"/>
      <c r="R37" s="3296" t="e">
        <f>IF(F1="售价",ROUND(AVERAGE(R36:V36),0),ROUND(AVERAGE(R36:V36),1))</f>
        <v>#DIV/0!</v>
      </c>
      <c r="S37" s="3296"/>
      <c r="T37" s="3296"/>
      <c r="U37" s="3296"/>
      <c r="V37" s="3296"/>
      <c r="W37" s="329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7</v>
      </c>
      <c r="D1" s="1823" t="s">
        <v>70</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238" t="s">
        <v>1399</v>
      </c>
      <c r="C6" s="1299" t="e">
        <f ca="1">ROUND(F6*F8*F7*(1-F9)/10000,0)</f>
        <v>#N/A</v>
      </c>
      <c r="D6" s="164" t="s">
        <v>3032</v>
      </c>
      <c r="E6" s="347" t="s">
        <v>1401</v>
      </c>
      <c r="F6" s="348" t="e">
        <f ca="1">INDIRECT("'数据-取费表'!u"&amp;$G$1)</f>
        <v>#N/A</v>
      </c>
      <c r="G6" s="1854"/>
      <c r="H6" s="1294" t="s">
        <v>1032</v>
      </c>
      <c r="I6" s="3238" t="s">
        <v>1399</v>
      </c>
      <c r="J6" s="346" t="e">
        <f ca="1">ROUND(M6*M8*M7*(1-M9)/10000,0)</f>
        <v>#N/A</v>
      </c>
      <c r="K6" s="164" t="s">
        <v>3031</v>
      </c>
      <c r="L6" s="347" t="s">
        <v>1401</v>
      </c>
      <c r="M6" s="348" t="e">
        <f ca="1">INDIRECT("'数据-取费表'!z"&amp;$G$1)</f>
        <v>#N/A</v>
      </c>
    </row>
    <row r="7" spans="1:37" ht="18" customHeight="1">
      <c r="A7" s="1298"/>
      <c r="B7" s="3239"/>
      <c r="C7" s="1300"/>
      <c r="D7" s="352"/>
      <c r="E7" s="2976" t="s">
        <v>1402</v>
      </c>
      <c r="F7" s="348" t="e">
        <f ca="1">IF(INDIRECT("'数据-取费表'!ah"&amp;$G$1)="",INDIRECT("'数据-取费表'!k"&amp;$G$1),INDIRECT("'数据-取费表'!ah"&amp;$G$1))</f>
        <v>#N/A</v>
      </c>
      <c r="G7" s="1854"/>
      <c r="H7" s="349"/>
      <c r="I7" s="3239"/>
      <c r="J7" s="351"/>
      <c r="K7" s="352"/>
      <c r="L7" s="347" t="s">
        <v>1402</v>
      </c>
      <c r="M7" s="348" t="e">
        <f ca="1">F7</f>
        <v>#N/A</v>
      </c>
    </row>
    <row r="8" spans="1:37" ht="18" customHeight="1">
      <c r="A8" s="349"/>
      <c r="B8" s="3239"/>
      <c r="C8" s="351"/>
      <c r="D8" s="352"/>
      <c r="E8" s="347" t="s">
        <v>1403</v>
      </c>
      <c r="F8" s="348" t="e">
        <f ca="1">INDIRECT("'数据-取费表'!ai"&amp;$G$1)</f>
        <v>#N/A</v>
      </c>
      <c r="G8" s="1854"/>
      <c r="H8" s="349"/>
      <c r="I8" s="3239"/>
      <c r="J8" s="351"/>
      <c r="K8" s="352"/>
      <c r="L8" s="347" t="s">
        <v>1403</v>
      </c>
      <c r="M8" s="348" t="e">
        <f ca="1">INDIRECT("'数据-取费表'!ai"&amp;$G$1)</f>
        <v>#N/A</v>
      </c>
    </row>
    <row r="9" spans="1:37" ht="18" customHeight="1">
      <c r="A9" s="349"/>
      <c r="B9" s="3240"/>
      <c r="C9" s="351"/>
      <c r="D9" s="352"/>
      <c r="E9" s="347" t="s">
        <v>1404</v>
      </c>
      <c r="F9" s="357" t="e">
        <f ca="1">INDIRECT("'数据-取费表'!w"&amp;$G$1)</f>
        <v>#N/A</v>
      </c>
      <c r="G9" s="1854"/>
      <c r="H9" s="349"/>
      <c r="I9" s="3240"/>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3365</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2970" t="s">
        <v>1414</v>
      </c>
      <c r="E14" s="2968"/>
      <c r="F14" s="364"/>
      <c r="G14" s="1854"/>
      <c r="H14" s="1204" t="s">
        <v>1032</v>
      </c>
      <c r="I14" s="347" t="s">
        <v>1415</v>
      </c>
      <c r="J14" s="24" t="e">
        <f ca="1">C29</f>
        <v>#N/A</v>
      </c>
      <c r="K14" s="2975"/>
      <c r="L14" s="982"/>
      <c r="M14" s="983"/>
    </row>
    <row r="15" spans="1:37" s="1861" customFormat="1" ht="18" customHeight="1" thickBot="1">
      <c r="A15" s="1204" t="s">
        <v>1033</v>
      </c>
      <c r="B15" s="347" t="s">
        <v>1416</v>
      </c>
      <c r="C15" s="24" t="e">
        <f ca="1">ROUND(C14*F15,0)</f>
        <v>#N/A</v>
      </c>
      <c r="D15" s="365" t="s">
        <v>1417</v>
      </c>
      <c r="E15" s="365" t="s">
        <v>1418</v>
      </c>
      <c r="F15" s="366">
        <f>'数据-取费表'!B33</f>
        <v>0.05</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2971"/>
      <c r="M16" s="1297"/>
    </row>
    <row r="17" spans="1:37" s="1861" customFormat="1" ht="18" customHeight="1">
      <c r="A17" s="1204" t="s">
        <v>1386</v>
      </c>
      <c r="B17" s="347" t="s">
        <v>1422</v>
      </c>
      <c r="C17" s="24" t="e">
        <f ca="1">ROUND(F17*(F43+INDIRECT("'数据-取费表'!S"&amp;$G$1))/10000,0)</f>
        <v>#N/A</v>
      </c>
      <c r="D17" s="347" t="s">
        <v>1423</v>
      </c>
      <c r="E17" s="347" t="s">
        <v>1424</v>
      </c>
      <c r="F17" s="26">
        <f>'数据-取费表'!B35</f>
        <v>180</v>
      </c>
      <c r="G17" s="1857"/>
      <c r="H17" s="1204" t="s">
        <v>1032</v>
      </c>
      <c r="I17" s="347" t="s">
        <v>1425</v>
      </c>
      <c r="J17" s="24" t="e">
        <f ca="1">ROUND(IF(项目基本情况!B11="自然人",J5*M17,J18+J19+J20),1)</f>
        <v>#N/A</v>
      </c>
      <c r="K17" s="2970" t="s">
        <v>1426</v>
      </c>
      <c r="L17" s="2969"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2969"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2974"/>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0.03</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74"/>
      <c r="F22" s="26"/>
      <c r="G22" s="1854"/>
      <c r="H22" s="1204" t="s">
        <v>1036</v>
      </c>
      <c r="I22" s="347" t="s">
        <v>1445</v>
      </c>
      <c r="J22" s="24" t="e">
        <f ca="1">ROUND(J14*M22,1)</f>
        <v>#N/A</v>
      </c>
      <c r="K22" s="2969"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t="e">
        <f ca="1">ROUND(J13*M23,1)</f>
        <v>#N/A</v>
      </c>
      <c r="K23" s="2969" t="s">
        <v>1450</v>
      </c>
      <c r="L23" s="347" t="s">
        <v>1418</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1418</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74"/>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2971"/>
      <c r="F30" s="1297"/>
      <c r="G30" s="1854"/>
      <c r="H30" s="745"/>
      <c r="I30" s="746"/>
      <c r="J30" s="747"/>
      <c r="K30" s="748"/>
      <c r="L30" s="749"/>
      <c r="M30" s="750"/>
    </row>
    <row r="31" spans="1:37" ht="18" customHeight="1">
      <c r="A31" s="1204" t="s">
        <v>1032</v>
      </c>
      <c r="B31" s="347" t="s">
        <v>1425</v>
      </c>
      <c r="C31" s="24" t="e">
        <f ca="1">ROUND(IF(项目基本情况!B11="自然人",C5*F31,C32+C33+C34),1)</f>
        <v>#N/A</v>
      </c>
      <c r="D31" s="2970" t="s">
        <v>1426</v>
      </c>
      <c r="E31" s="2969"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2969"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2969"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2969" t="s">
        <v>1450</v>
      </c>
      <c r="E37" s="347" t="s">
        <v>1418</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1418</v>
      </c>
      <c r="F38" s="1339" t="e">
        <f ca="1">INDIRECT("'数据-取费表'!Am"&amp;$G$1)</f>
        <v>#N/A</v>
      </c>
      <c r="G38" s="1854"/>
      <c r="H38" s="1862"/>
      <c r="I38" s="1863"/>
      <c r="J38" s="1864"/>
      <c r="K38" s="1868"/>
      <c r="L38" s="1862"/>
      <c r="M38" s="1862"/>
    </row>
    <row r="39" spans="1:18" ht="24.6" customHeight="1" thickTop="1">
      <c r="A39" s="1332" t="s">
        <v>1028</v>
      </c>
      <c r="B39" s="1347" t="s">
        <v>1459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2973" t="e">
        <f ca="1">C49+C53+C55</f>
        <v>#N/A</v>
      </c>
      <c r="D48" s="1365"/>
      <c r="E48" s="1366"/>
      <c r="F48" s="1184"/>
      <c r="G48" s="792"/>
      <c r="H48" s="793"/>
      <c r="I48" s="1890" t="s">
        <v>1526</v>
      </c>
      <c r="J48" s="1891" t="s">
        <v>3291</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v>2017</v>
      </c>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58</v>
      </c>
      <c r="K51" s="1903" t="s">
        <v>1537</v>
      </c>
      <c r="L51" s="1904" t="e">
        <f ca="1">ROUND(-PV(INDIRECT("'数据-取费表'!h"&amp;$G$1),L48,(C39-C13*C76),0),0)</f>
        <v>#N/A</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236" t="s">
        <v>1544</v>
      </c>
      <c r="L53" s="3237"/>
      <c r="O53" s="1887" t="s">
        <v>1043</v>
      </c>
      <c r="P53" s="1888" t="s">
        <v>1545</v>
      </c>
      <c r="Q53" s="1889" t="e">
        <f ca="1">Q47+Q48</f>
        <v>#N/A</v>
      </c>
      <c r="R53" s="1889" t="s">
        <v>1044</v>
      </c>
    </row>
    <row r="54" spans="1:18" s="1845" customFormat="1" ht="13.5" thickBot="1">
      <c r="A54" s="1409"/>
      <c r="B54" s="1828" t="s">
        <v>1384</v>
      </c>
      <c r="C54" s="1181"/>
      <c r="D54" s="1827"/>
      <c r="E54" s="2972"/>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2972"/>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3287</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1433</v>
      </c>
      <c r="C61" s="24" t="e">
        <f ca="1">IF(项目基本情况!B11="自然人","——",IF(D61="按租金收入计税",ROUND(C48*F61,2),IF(D61="按房产原值计税",ROUND(C57*F61*0.7,2),INDIRECT("'数据-取费表'!Aj"&amp;$G$1))))</f>
        <v>#N/A</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#N/A</v>
      </c>
      <c r="R61" s="1889" t="s">
        <v>1565</v>
      </c>
    </row>
    <row r="62" spans="1:18" s="1845" customFormat="1" ht="13.5" thickBot="1">
      <c r="A62" s="1204" t="s">
        <v>1491</v>
      </c>
      <c r="B62" s="1171" t="s">
        <v>1437</v>
      </c>
      <c r="C62" s="25" t="e">
        <f ca="1">IF(项目基本情况!B11="自然人","——",ROUND(F62*F63/10000,2))</f>
        <v>#N/A</v>
      </c>
      <c r="D62" s="1187" t="s">
        <v>1438</v>
      </c>
      <c r="E62" s="1172" t="s">
        <v>1439</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t="e">
        <f ca="1">ROUND(C57*F64,1)</f>
        <v>#N/A</v>
      </c>
      <c r="D64" s="1186" t="s">
        <v>1478</v>
      </c>
      <c r="E64" s="1172" t="s">
        <v>1418</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1418</v>
      </c>
      <c r="F65" s="376" t="e">
        <f t="shared" ca="1" si="0"/>
        <v>#N/A</v>
      </c>
      <c r="I65" s="1932" t="s">
        <v>1575</v>
      </c>
      <c r="J65" s="1933">
        <v>40</v>
      </c>
      <c r="K65" s="1933">
        <v>30</v>
      </c>
      <c r="L65" s="1933">
        <v>50</v>
      </c>
      <c r="M65" s="1935">
        <v>0.02</v>
      </c>
      <c r="O65" s="1887" t="s">
        <v>1037</v>
      </c>
      <c r="P65" s="1888" t="s">
        <v>1524</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23324</v>
      </c>
      <c r="C2" s="2571" t="s">
        <v>2518</v>
      </c>
      <c r="D2" s="2572" t="s">
        <v>2519</v>
      </c>
      <c r="E2" s="2573">
        <f>SUM(E6:E13)</f>
        <v>20447.539999999997</v>
      </c>
    </row>
    <row r="3" spans="1:6" ht="15.75">
      <c r="A3" s="2569" t="s">
        <v>1391</v>
      </c>
      <c r="B3" s="2570">
        <f ca="1">ROUND(B2*10000/E2,0)</f>
        <v>11407</v>
      </c>
      <c r="C3" s="2571" t="s">
        <v>2526</v>
      </c>
      <c r="D3" s="2574"/>
      <c r="E3" s="2575"/>
    </row>
    <row r="4" spans="1:6" ht="15.75">
      <c r="A4" s="2576"/>
      <c r="B4" s="2574"/>
      <c r="C4" s="2574"/>
      <c r="D4" s="2574"/>
      <c r="E4" s="2575"/>
    </row>
    <row r="5" spans="1:6" ht="15">
      <c r="A5" s="2577" t="s">
        <v>2520</v>
      </c>
      <c r="B5" s="3324" t="s">
        <v>2521</v>
      </c>
      <c r="C5" s="3324"/>
      <c r="D5" s="2578"/>
      <c r="E5" s="2579" t="s">
        <v>2522</v>
      </c>
      <c r="F5" s="2580" t="s">
        <v>2523</v>
      </c>
    </row>
    <row r="6" spans="1:6">
      <c r="A6" s="2581" t="str">
        <f>'数据-取费表'!AN6</f>
        <v>收益法</v>
      </c>
      <c r="B6" s="2580">
        <f ca="1">IF(F6="是",'数据-取费表'!AO6,0)</f>
        <v>23324</v>
      </c>
      <c r="C6" s="2571" t="s">
        <v>2518</v>
      </c>
      <c r="D6" s="2574"/>
      <c r="E6" s="2582">
        <f>IF(OR(A6=0,F6="否"),0,'数据-取费表'!K6+'数据-取费表'!S6)</f>
        <v>20447.539999999997</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G21" sqref="G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6758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3305</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67" t="s">
        <v>2646</v>
      </c>
      <c r="S4" s="3268"/>
      <c r="T4" s="3267" t="s">
        <v>2647</v>
      </c>
      <c r="U4" s="3268"/>
      <c r="V4" s="3292" t="s">
        <v>2648</v>
      </c>
      <c r="W4" s="3292"/>
      <c r="X4" s="1816"/>
      <c r="Y4" s="3267" t="s">
        <v>2650</v>
      </c>
      <c r="Z4" s="3268"/>
      <c r="AA4" s="3262" t="s">
        <v>2646</v>
      </c>
      <c r="AB4" s="3263" t="s">
        <v>2647</v>
      </c>
      <c r="AC4" s="3262" t="s">
        <v>2648</v>
      </c>
    </row>
    <row r="5" spans="1:30" ht="15">
      <c r="A5" s="404"/>
      <c r="B5" s="405"/>
      <c r="C5" s="3273" t="s">
        <v>3348</v>
      </c>
      <c r="D5" s="3274"/>
      <c r="E5" s="3271" t="s">
        <v>3361</v>
      </c>
      <c r="F5" s="3272"/>
      <c r="G5" s="3273" t="s">
        <v>3324</v>
      </c>
      <c r="H5" s="3274"/>
      <c r="I5" s="3273" t="s">
        <v>3328</v>
      </c>
      <c r="J5" s="3274"/>
      <c r="K5" s="610"/>
      <c r="L5" s="1133"/>
      <c r="M5" s="1134"/>
      <c r="N5" s="1134"/>
      <c r="O5" s="1134"/>
      <c r="P5" s="3286"/>
      <c r="Q5" s="3287"/>
      <c r="R5" s="3269"/>
      <c r="S5" s="3270"/>
      <c r="T5" s="3269"/>
      <c r="U5" s="3270"/>
      <c r="V5" s="3292"/>
      <c r="W5" s="3292"/>
      <c r="X5" s="1816"/>
      <c r="Y5" s="3269"/>
      <c r="Z5" s="3270"/>
      <c r="AA5" s="3263"/>
      <c r="AB5" s="3263"/>
      <c r="AC5" s="3263"/>
    </row>
    <row r="6" spans="1:30" ht="15.75" thickBot="1">
      <c r="A6" s="406"/>
      <c r="B6" s="407"/>
      <c r="C6" s="3275" t="s">
        <v>3349</v>
      </c>
      <c r="D6" s="3276"/>
      <c r="E6" s="3277" t="s">
        <v>3349</v>
      </c>
      <c r="F6" s="3278"/>
      <c r="G6" s="3275" t="s">
        <v>3349</v>
      </c>
      <c r="H6" s="3276"/>
      <c r="I6" s="3275" t="s">
        <v>3349</v>
      </c>
      <c r="J6" s="3276"/>
      <c r="K6" s="610" t="s">
        <v>2546</v>
      </c>
      <c r="L6" s="1133"/>
      <c r="M6" s="1134"/>
      <c r="N6" s="1134"/>
      <c r="O6" s="1134"/>
      <c r="P6" s="3288"/>
      <c r="Q6" s="3289"/>
      <c r="R6" s="3269"/>
      <c r="S6" s="3270"/>
      <c r="T6" s="3290"/>
      <c r="U6" s="3291"/>
      <c r="V6" s="3292"/>
      <c r="W6" s="3292"/>
      <c r="X6" s="1816"/>
      <c r="Y6" s="3290"/>
      <c r="Z6" s="3291"/>
      <c r="AA6" s="3264"/>
      <c r="AB6" s="3264"/>
      <c r="AC6" s="3264"/>
    </row>
    <row r="7" spans="1:30" s="117" customFormat="1" ht="15.75" thickBot="1">
      <c r="A7" s="408" t="s">
        <v>2547</v>
      </c>
      <c r="B7" s="409"/>
      <c r="C7" s="410">
        <f>'数据-取费表'!B2</f>
        <v>43598</v>
      </c>
      <c r="D7" s="411">
        <v>100</v>
      </c>
      <c r="E7" s="412">
        <v>42706</v>
      </c>
      <c r="F7" s="413">
        <f>SUMIF(70:70,YEAR(E7)&amp;"-"&amp;INT((MONTH(E7)+2)/3),71:71)</f>
        <v>100</v>
      </c>
      <c r="G7" s="2701">
        <v>42615</v>
      </c>
      <c r="H7" s="411">
        <f>SUMIF(70:70,YEAR(G7)&amp;"-"&amp;INT((MONTH(G7)+2)/3),71:71)</f>
        <v>100</v>
      </c>
      <c r="I7" s="2701">
        <v>42587</v>
      </c>
      <c r="J7" s="411">
        <f>SUMIF(70:70,YEAR(I7)&amp;"-"&amp;INT((MONTH(I7)+2)/3),71:71)</f>
        <v>100</v>
      </c>
      <c r="K7" s="611"/>
      <c r="L7" s="1135"/>
      <c r="M7" s="1136"/>
      <c r="N7" s="1136"/>
      <c r="O7" s="1136"/>
      <c r="P7" s="3265" t="s">
        <v>2548</v>
      </c>
      <c r="Q7" s="3293"/>
      <c r="R7" s="770" t="s">
        <v>17</v>
      </c>
      <c r="S7" s="771">
        <f t="shared" ref="S7:S15" si="0">F7</f>
        <v>100</v>
      </c>
      <c r="T7" s="770" t="s">
        <v>17</v>
      </c>
      <c r="U7" s="771">
        <f t="shared" ref="U7:U15" si="1">H7</f>
        <v>100</v>
      </c>
      <c r="V7" s="770" t="s">
        <v>17</v>
      </c>
      <c r="W7" s="771">
        <f t="shared" ref="W7:W15" si="2">J7</f>
        <v>100</v>
      </c>
      <c r="X7" s="772"/>
      <c r="Y7" s="3265" t="s">
        <v>2548</v>
      </c>
      <c r="Z7" s="3266"/>
      <c r="AA7" s="773">
        <f>D7/F7</f>
        <v>1</v>
      </c>
      <c r="AB7" s="773">
        <f>D7/H7</f>
        <v>1</v>
      </c>
      <c r="AC7" s="773">
        <f>D7/J7</f>
        <v>1</v>
      </c>
    </row>
    <row r="8" spans="1:30" s="117" customFormat="1" ht="15.75" thickBot="1">
      <c r="A8" s="408" t="s">
        <v>2549</v>
      </c>
      <c r="B8" s="409"/>
      <c r="C8" s="414" t="s">
        <v>2550</v>
      </c>
      <c r="D8" s="411">
        <v>100</v>
      </c>
      <c r="E8" s="414" t="s">
        <v>3292</v>
      </c>
      <c r="F8" s="413">
        <f>SUMIF(73:73,E8,74:74)-SUMIF(73:73,C8,74:74)+100</f>
        <v>100</v>
      </c>
      <c r="G8" s="414" t="s">
        <v>3292</v>
      </c>
      <c r="H8" s="411">
        <f>SUMIF(73:73,G8,74:74)-SUMIF(73:73,C8,74:74)+100</f>
        <v>100</v>
      </c>
      <c r="I8" s="414" t="s">
        <v>3292</v>
      </c>
      <c r="J8" s="411">
        <f>SUMIF(73:73,I8,74:74)-SUMIF(73:73,C8,74:74)+100</f>
        <v>100</v>
      </c>
      <c r="K8" s="611"/>
      <c r="L8" s="1135"/>
      <c r="M8" s="1136"/>
      <c r="N8" s="1136"/>
      <c r="O8" s="1136"/>
      <c r="P8" s="3265" t="s">
        <v>2551</v>
      </c>
      <c r="Q8" s="3266"/>
      <c r="R8" s="770" t="s">
        <v>17</v>
      </c>
      <c r="S8" s="771">
        <f t="shared" si="0"/>
        <v>100</v>
      </c>
      <c r="T8" s="770" t="s">
        <v>17</v>
      </c>
      <c r="U8" s="771">
        <f t="shared" si="1"/>
        <v>100</v>
      </c>
      <c r="V8" s="770" t="s">
        <v>17</v>
      </c>
      <c r="W8" s="771">
        <f t="shared" si="2"/>
        <v>100</v>
      </c>
      <c r="X8" s="772"/>
      <c r="Y8" s="3265" t="s">
        <v>2551</v>
      </c>
      <c r="Z8" s="3266"/>
      <c r="AA8" s="773">
        <f t="shared" ref="AA8:AA45" si="3">D8/F8</f>
        <v>1</v>
      </c>
      <c r="AB8" s="773">
        <f t="shared" ref="AB8:AB45" si="4">D8/H8</f>
        <v>1</v>
      </c>
      <c r="AC8" s="773">
        <f t="shared" ref="AC8:AC45" si="5">D8/J8</f>
        <v>1</v>
      </c>
    </row>
    <row r="9" spans="1:30" s="117" customFormat="1">
      <c r="A9" s="415" t="s">
        <v>2552</v>
      </c>
      <c r="B9" s="71" t="s">
        <v>2553</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97" t="s">
        <v>2554</v>
      </c>
      <c r="Q9" s="1798" t="str">
        <f t="shared" ref="Q9:Q15" si="6">B9</f>
        <v>用途</v>
      </c>
      <c r="R9" s="770" t="s">
        <v>17</v>
      </c>
      <c r="S9" s="771">
        <f t="shared" si="0"/>
        <v>100</v>
      </c>
      <c r="T9" s="770" t="s">
        <v>17</v>
      </c>
      <c r="U9" s="771">
        <f t="shared" si="1"/>
        <v>100</v>
      </c>
      <c r="V9" s="770" t="s">
        <v>17</v>
      </c>
      <c r="W9" s="771">
        <f t="shared" si="2"/>
        <v>100</v>
      </c>
      <c r="X9" s="772"/>
      <c r="Y9" s="3101"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97"/>
      <c r="Q10" s="1798" t="str">
        <f t="shared" si="6"/>
        <v>土地使用年限（年）</v>
      </c>
      <c r="R10" s="770" t="s">
        <v>17</v>
      </c>
      <c r="S10" s="771">
        <f t="shared" si="0"/>
        <v>105</v>
      </c>
      <c r="T10" s="770" t="s">
        <v>17</v>
      </c>
      <c r="U10" s="771">
        <f t="shared" si="1"/>
        <v>105</v>
      </c>
      <c r="V10" s="770" t="s">
        <v>17</v>
      </c>
      <c r="W10" s="771">
        <f t="shared" si="2"/>
        <v>105</v>
      </c>
      <c r="X10" s="772"/>
      <c r="Y10" s="3101"/>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'数据-汇总表'!I6</f>
        <v>0.51</v>
      </c>
      <c r="D11" s="136">
        <v>100</v>
      </c>
      <c r="E11" s="429">
        <v>3</v>
      </c>
      <c r="F11" s="136">
        <f>LOOKUP(E11,80:80,81:81)-LOOKUP(C11,80:80,81:81)+100</f>
        <v>118</v>
      </c>
      <c r="G11" s="430">
        <v>2.7</v>
      </c>
      <c r="H11" s="136">
        <f>LOOKUP(G11,80:80,81:81)-LOOKUP(C11,80:80,81:81)+100</f>
        <v>112</v>
      </c>
      <c r="I11" s="429">
        <v>3.1</v>
      </c>
      <c r="J11" s="136">
        <f>LOOKUP(I11,80:80,81:81)-LOOKUP(C11,80:80,81:81)+100</f>
        <v>118</v>
      </c>
      <c r="K11" s="673">
        <v>6</v>
      </c>
      <c r="L11" s="1141"/>
      <c r="M11" s="1134"/>
      <c r="N11" s="1134"/>
      <c r="O11" s="1142"/>
      <c r="P11" s="3297"/>
      <c r="Q11" s="1798" t="str">
        <f t="shared" si="6"/>
        <v>容积率</v>
      </c>
      <c r="R11" s="770" t="s">
        <v>17</v>
      </c>
      <c r="S11" s="771">
        <f t="shared" si="0"/>
        <v>118</v>
      </c>
      <c r="T11" s="770" t="s">
        <v>17</v>
      </c>
      <c r="U11" s="771">
        <f t="shared" si="1"/>
        <v>112</v>
      </c>
      <c r="V11" s="770" t="s">
        <v>17</v>
      </c>
      <c r="W11" s="771">
        <f t="shared" si="2"/>
        <v>118</v>
      </c>
      <c r="X11" s="772"/>
      <c r="Y11" s="3101"/>
      <c r="Z11" s="55" t="str">
        <f t="shared" si="7"/>
        <v>容积率</v>
      </c>
      <c r="AA11" s="773">
        <f t="shared" si="3"/>
        <v>0.84745762711864403</v>
      </c>
      <c r="AB11" s="773">
        <f t="shared" si="4"/>
        <v>0.8928571428571429</v>
      </c>
      <c r="AC11" s="773">
        <f t="shared" si="5"/>
        <v>0.84745762711864403</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97"/>
      <c r="Q12" s="1798" t="str">
        <f t="shared" si="6"/>
        <v>配建</v>
      </c>
      <c r="R12" s="770" t="s">
        <v>17</v>
      </c>
      <c r="S12" s="771">
        <f t="shared" si="0"/>
        <v>100</v>
      </c>
      <c r="T12" s="770" t="s">
        <v>17</v>
      </c>
      <c r="U12" s="771">
        <f t="shared" si="1"/>
        <v>100</v>
      </c>
      <c r="V12" s="770" t="s">
        <v>17</v>
      </c>
      <c r="W12" s="771">
        <f t="shared" si="2"/>
        <v>100</v>
      </c>
      <c r="X12" s="772"/>
      <c r="Y12" s="3101"/>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97"/>
      <c r="Q13" s="1798">
        <f t="shared" si="6"/>
        <v>111</v>
      </c>
      <c r="R13" s="770" t="s">
        <v>17</v>
      </c>
      <c r="S13" s="771">
        <f t="shared" si="0"/>
        <v>100</v>
      </c>
      <c r="T13" s="770" t="s">
        <v>17</v>
      </c>
      <c r="U13" s="771">
        <f t="shared" si="1"/>
        <v>100</v>
      </c>
      <c r="V13" s="770" t="s">
        <v>17</v>
      </c>
      <c r="W13" s="771">
        <f t="shared" si="2"/>
        <v>100</v>
      </c>
      <c r="X13" s="772"/>
      <c r="Y13" s="3101"/>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97"/>
      <c r="Q14" s="1798">
        <f t="shared" si="6"/>
        <v>111</v>
      </c>
      <c r="R14" s="770" t="s">
        <v>17</v>
      </c>
      <c r="S14" s="771">
        <f t="shared" si="0"/>
        <v>100</v>
      </c>
      <c r="T14" s="770" t="s">
        <v>17</v>
      </c>
      <c r="U14" s="771">
        <f t="shared" si="1"/>
        <v>100</v>
      </c>
      <c r="V14" s="770" t="s">
        <v>17</v>
      </c>
      <c r="W14" s="771">
        <f t="shared" si="2"/>
        <v>100</v>
      </c>
      <c r="X14" s="772"/>
      <c r="Y14" s="3101"/>
      <c r="Z14" s="55">
        <f t="shared" si="7"/>
        <v>111</v>
      </c>
      <c r="AA14" s="773">
        <f>D14/F14</f>
        <v>1</v>
      </c>
      <c r="AB14" s="773">
        <f>D14/H14</f>
        <v>1</v>
      </c>
      <c r="AC14" s="773">
        <f>D14/J14</f>
        <v>1</v>
      </c>
    </row>
    <row r="15" spans="1:30" ht="99.75">
      <c r="A15" s="440" t="s">
        <v>2558</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99" t="s">
        <v>2559</v>
      </c>
      <c r="Q15" s="1813" t="str">
        <f t="shared" si="6"/>
        <v>居住社区成熟度</v>
      </c>
      <c r="R15" s="774" t="s">
        <v>17</v>
      </c>
      <c r="S15" s="775">
        <f t="shared" si="0"/>
        <v>100</v>
      </c>
      <c r="T15" s="774" t="s">
        <v>17</v>
      </c>
      <c r="U15" s="775">
        <f t="shared" si="1"/>
        <v>100</v>
      </c>
      <c r="V15" s="774" t="s">
        <v>17</v>
      </c>
      <c r="W15" s="775">
        <f t="shared" si="2"/>
        <v>100</v>
      </c>
      <c r="X15" s="1816"/>
      <c r="Y15" s="3299"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300"/>
      <c r="Q16" s="1813"/>
      <c r="R16" s="774"/>
      <c r="S16" s="775"/>
      <c r="T16" s="774"/>
      <c r="U16" s="775"/>
      <c r="V16" s="774"/>
      <c r="W16" s="775"/>
      <c r="X16" s="1816"/>
      <c r="Y16" s="3300"/>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300"/>
      <c r="Q17" s="1813" t="str">
        <f>B17</f>
        <v>商业繁华度</v>
      </c>
      <c r="R17" s="774" t="s">
        <v>17</v>
      </c>
      <c r="S17" s="775">
        <f>F17</f>
        <v>100</v>
      </c>
      <c r="T17" s="774" t="s">
        <v>17</v>
      </c>
      <c r="U17" s="775">
        <f>H17</f>
        <v>100</v>
      </c>
      <c r="V17" s="774" t="s">
        <v>17</v>
      </c>
      <c r="W17" s="775">
        <f>J17</f>
        <v>100</v>
      </c>
      <c r="X17" s="1816"/>
      <c r="Y17" s="3300"/>
      <c r="Z17" s="1817" t="str">
        <f>Q17</f>
        <v>商业繁华度</v>
      </c>
      <c r="AA17" s="1814">
        <f t="shared" si="3"/>
        <v>1</v>
      </c>
      <c r="AB17" s="1814">
        <f t="shared" si="4"/>
        <v>1</v>
      </c>
      <c r="AC17" s="1814">
        <f t="shared" si="5"/>
        <v>1</v>
      </c>
    </row>
    <row r="18" spans="1:29" ht="15">
      <c r="A18" s="428"/>
      <c r="B18" s="456"/>
      <c r="C18" s="2613" t="s">
        <v>3293</v>
      </c>
      <c r="D18" s="450"/>
      <c r="E18" s="2615" t="s">
        <v>3293</v>
      </c>
      <c r="F18" s="450"/>
      <c r="G18" s="2615" t="s">
        <v>3293</v>
      </c>
      <c r="H18" s="448"/>
      <c r="I18" s="2614" t="s">
        <v>3293</v>
      </c>
      <c r="J18" s="448"/>
      <c r="K18" s="672"/>
      <c r="L18" s="1143"/>
      <c r="M18" s="1134"/>
      <c r="N18" s="1134"/>
      <c r="O18" s="1142"/>
      <c r="P18" s="3300"/>
      <c r="Q18" s="1813"/>
      <c r="R18" s="774"/>
      <c r="S18" s="775"/>
      <c r="T18" s="774"/>
      <c r="U18" s="775"/>
      <c r="V18" s="774"/>
      <c r="W18" s="775"/>
      <c r="X18" s="1816"/>
      <c r="Y18" s="3300"/>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102</v>
      </c>
      <c r="K19" s="673">
        <v>2</v>
      </c>
      <c r="L19" s="1143"/>
      <c r="M19" s="1134"/>
      <c r="N19" s="1134"/>
      <c r="O19" s="1142"/>
      <c r="P19" s="3300"/>
      <c r="Q19" s="1813" t="str">
        <f>B19</f>
        <v>办公集聚程度</v>
      </c>
      <c r="R19" s="774" t="s">
        <v>17</v>
      </c>
      <c r="S19" s="775">
        <f>F19</f>
        <v>102</v>
      </c>
      <c r="T19" s="774" t="s">
        <v>17</v>
      </c>
      <c r="U19" s="775">
        <f>H19</f>
        <v>102</v>
      </c>
      <c r="V19" s="774" t="s">
        <v>17</v>
      </c>
      <c r="W19" s="775">
        <f>J19</f>
        <v>102</v>
      </c>
      <c r="X19" s="1816"/>
      <c r="Y19" s="3300"/>
      <c r="Z19" s="1817" t="str">
        <f>Q19</f>
        <v>办公集聚程度</v>
      </c>
      <c r="AA19" s="1814">
        <f t="shared" si="3"/>
        <v>0.98039215686274506</v>
      </c>
      <c r="AB19" s="1814">
        <f t="shared" si="4"/>
        <v>0.98039215686274506</v>
      </c>
      <c r="AC19" s="1814">
        <f t="shared" si="5"/>
        <v>0.98039215686274506</v>
      </c>
    </row>
    <row r="20" spans="1:29" ht="15">
      <c r="A20" s="428"/>
      <c r="B20" s="456"/>
      <c r="C20" s="447" t="s">
        <v>3293</v>
      </c>
      <c r="D20" s="448"/>
      <c r="E20" s="2610" t="s">
        <v>3294</v>
      </c>
      <c r="F20" s="448"/>
      <c r="G20" s="2610" t="s">
        <v>3294</v>
      </c>
      <c r="H20" s="448"/>
      <c r="I20" s="2609" t="s">
        <v>3294</v>
      </c>
      <c r="J20" s="448"/>
      <c r="K20" s="672"/>
      <c r="L20" s="1143"/>
      <c r="M20" s="1134"/>
      <c r="N20" s="1134"/>
      <c r="O20" s="1142"/>
      <c r="P20" s="3300"/>
      <c r="Q20" s="1813"/>
      <c r="R20" s="774"/>
      <c r="S20" s="775"/>
      <c r="T20" s="774"/>
      <c r="U20" s="775"/>
      <c r="V20" s="774"/>
      <c r="W20" s="775"/>
      <c r="X20" s="1816"/>
      <c r="Y20" s="3300"/>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300"/>
      <c r="Q21" s="1813" t="str">
        <f>B21</f>
        <v>交通便捷度</v>
      </c>
      <c r="R21" s="774" t="s">
        <v>17</v>
      </c>
      <c r="S21" s="775">
        <f>F21</f>
        <v>100</v>
      </c>
      <c r="T21" s="774" t="s">
        <v>17</v>
      </c>
      <c r="U21" s="775">
        <f>H21</f>
        <v>100</v>
      </c>
      <c r="V21" s="774" t="s">
        <v>17</v>
      </c>
      <c r="W21" s="775">
        <f>J21</f>
        <v>100</v>
      </c>
      <c r="X21" s="1816"/>
      <c r="Y21" s="3300"/>
      <c r="Z21" s="1817" t="str">
        <f>Q21</f>
        <v>交通便捷度</v>
      </c>
      <c r="AA21" s="1814">
        <f t="shared" si="3"/>
        <v>1</v>
      </c>
      <c r="AB21" s="1814">
        <f t="shared" si="4"/>
        <v>1</v>
      </c>
      <c r="AC21" s="1814">
        <f t="shared" si="5"/>
        <v>1</v>
      </c>
    </row>
    <row r="22" spans="1:29" ht="15">
      <c r="A22" s="428"/>
      <c r="B22" s="1387"/>
      <c r="C22" s="447" t="s">
        <v>3294</v>
      </c>
      <c r="D22" s="450"/>
      <c r="E22" s="2610" t="s">
        <v>3294</v>
      </c>
      <c r="F22" s="448"/>
      <c r="G22" s="2610" t="s">
        <v>3294</v>
      </c>
      <c r="H22" s="448"/>
      <c r="I22" s="2609" t="s">
        <v>3294</v>
      </c>
      <c r="J22" s="448"/>
      <c r="K22" s="672"/>
      <c r="L22" s="1143"/>
      <c r="M22" s="1134"/>
      <c r="N22" s="1134"/>
      <c r="O22" s="1142"/>
      <c r="P22" s="3300"/>
      <c r="Q22" s="1813"/>
      <c r="R22" s="774"/>
      <c r="S22" s="775"/>
      <c r="T22" s="774"/>
      <c r="U22" s="775"/>
      <c r="V22" s="774"/>
      <c r="W22" s="775"/>
      <c r="X22" s="1816"/>
      <c r="Y22" s="3300"/>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300"/>
      <c r="Q23" s="1813" t="str">
        <f t="shared" ref="Q23:Q37" si="8">B23</f>
        <v>区域土地利用方向</v>
      </c>
      <c r="R23" s="774" t="s">
        <v>17</v>
      </c>
      <c r="S23" s="775">
        <f>F23</f>
        <v>100</v>
      </c>
      <c r="T23" s="774" t="s">
        <v>17</v>
      </c>
      <c r="U23" s="775">
        <f>H23</f>
        <v>100</v>
      </c>
      <c r="V23" s="774" t="s">
        <v>17</v>
      </c>
      <c r="W23" s="775">
        <f>J23</f>
        <v>100</v>
      </c>
      <c r="X23" s="1816"/>
      <c r="Y23" s="3300"/>
      <c r="Z23" s="1817" t="str">
        <f>Q23</f>
        <v>区域土地利用方向</v>
      </c>
      <c r="AA23" s="1814">
        <f t="shared" si="3"/>
        <v>1</v>
      </c>
      <c r="AB23" s="1814">
        <f t="shared" si="4"/>
        <v>1</v>
      </c>
      <c r="AC23" s="1814">
        <f t="shared" si="5"/>
        <v>1</v>
      </c>
    </row>
    <row r="24" spans="1:29" ht="15">
      <c r="A24" s="404"/>
      <c r="B24" s="456"/>
      <c r="C24" s="616" t="s">
        <v>3294</v>
      </c>
      <c r="D24" s="448"/>
      <c r="E24" s="2610" t="s">
        <v>3294</v>
      </c>
      <c r="F24" s="448"/>
      <c r="G24" s="2609" t="s">
        <v>3294</v>
      </c>
      <c r="H24" s="448"/>
      <c r="I24" s="2609" t="s">
        <v>3294</v>
      </c>
      <c r="J24" s="448"/>
      <c r="K24" s="812"/>
      <c r="L24" s="1143"/>
      <c r="M24" s="1134"/>
      <c r="N24" s="1134"/>
      <c r="O24" s="1142"/>
      <c r="P24" s="3300"/>
      <c r="Q24" s="1813"/>
      <c r="R24" s="774"/>
      <c r="S24" s="775"/>
      <c r="T24" s="774"/>
      <c r="U24" s="775"/>
      <c r="V24" s="774"/>
      <c r="W24" s="775"/>
      <c r="X24" s="1816"/>
      <c r="Y24" s="3300"/>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300"/>
      <c r="Q25" s="1813" t="str">
        <f t="shared" si="8"/>
        <v>自然及人文环境状况</v>
      </c>
      <c r="R25" s="774" t="s">
        <v>17</v>
      </c>
      <c r="S25" s="775">
        <f>F25</f>
        <v>100</v>
      </c>
      <c r="T25" s="774" t="s">
        <v>17</v>
      </c>
      <c r="U25" s="775">
        <f>H25</f>
        <v>100</v>
      </c>
      <c r="V25" s="774" t="s">
        <v>17</v>
      </c>
      <c r="W25" s="775">
        <f>J25</f>
        <v>100</v>
      </c>
      <c r="X25" s="1816"/>
      <c r="Y25" s="3300"/>
      <c r="Z25" s="1817" t="str">
        <f>Q25</f>
        <v>自然及人文环境状况</v>
      </c>
      <c r="AA25" s="1814">
        <f t="shared" si="3"/>
        <v>1</v>
      </c>
      <c r="AB25" s="1814">
        <f t="shared" si="4"/>
        <v>1</v>
      </c>
      <c r="AC25" s="1814">
        <f t="shared" si="5"/>
        <v>1</v>
      </c>
    </row>
    <row r="26" spans="1:29" ht="15">
      <c r="A26" s="404"/>
      <c r="B26" s="456"/>
      <c r="C26" s="447" t="s">
        <v>3352</v>
      </c>
      <c r="D26" s="448"/>
      <c r="E26" s="2616" t="s">
        <v>3352</v>
      </c>
      <c r="F26" s="448"/>
      <c r="G26" s="2616" t="s">
        <v>3352</v>
      </c>
      <c r="H26" s="448"/>
      <c r="I26" s="447" t="s">
        <v>3352</v>
      </c>
      <c r="J26" s="448"/>
      <c r="K26" s="672"/>
      <c r="L26" s="1143"/>
      <c r="M26" s="1134"/>
      <c r="N26" s="1134"/>
      <c r="O26" s="1142"/>
      <c r="P26" s="3300"/>
      <c r="Q26" s="1813"/>
      <c r="R26" s="774"/>
      <c r="S26" s="775"/>
      <c r="T26" s="774"/>
      <c r="U26" s="775"/>
      <c r="V26" s="774"/>
      <c r="W26" s="775"/>
      <c r="X26" s="1816"/>
      <c r="Y26" s="3300"/>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300"/>
      <c r="Q27" s="1798" t="str">
        <f t="shared" si="8"/>
        <v>公共配套设施</v>
      </c>
      <c r="R27" s="770" t="s">
        <v>17</v>
      </c>
      <c r="S27" s="771">
        <f>F27</f>
        <v>100</v>
      </c>
      <c r="T27" s="770" t="s">
        <v>17</v>
      </c>
      <c r="U27" s="771">
        <f>H27</f>
        <v>100</v>
      </c>
      <c r="V27" s="770" t="s">
        <v>17</v>
      </c>
      <c r="W27" s="771">
        <f>J27</f>
        <v>100</v>
      </c>
      <c r="X27" s="772"/>
      <c r="Y27" s="3300"/>
      <c r="Z27" s="55" t="str">
        <f>Q27</f>
        <v>公共配套设施</v>
      </c>
      <c r="AA27" s="1814">
        <f>D27/F27</f>
        <v>1</v>
      </c>
      <c r="AB27" s="1814">
        <f>D27/H27</f>
        <v>1</v>
      </c>
      <c r="AC27" s="1814">
        <f>D27/J27</f>
        <v>1</v>
      </c>
    </row>
    <row r="28" spans="1:29" s="117" customFormat="1" ht="15">
      <c r="A28" s="649"/>
      <c r="B28" s="456"/>
      <c r="C28" s="2705" t="s">
        <v>3293</v>
      </c>
      <c r="D28" s="448"/>
      <c r="E28" s="2616" t="s">
        <v>3293</v>
      </c>
      <c r="F28" s="448"/>
      <c r="G28" s="2616" t="s">
        <v>3293</v>
      </c>
      <c r="H28" s="448"/>
      <c r="I28" s="447" t="s">
        <v>3293</v>
      </c>
      <c r="J28" s="448"/>
      <c r="K28" s="672"/>
      <c r="L28" s="1135"/>
      <c r="M28" s="1136"/>
      <c r="N28" s="1136"/>
      <c r="O28" s="1137"/>
      <c r="P28" s="3300"/>
      <c r="Q28" s="1798"/>
      <c r="R28" s="770"/>
      <c r="S28" s="771"/>
      <c r="T28" s="770"/>
      <c r="U28" s="771"/>
      <c r="V28" s="770"/>
      <c r="W28" s="771"/>
      <c r="X28" s="772"/>
      <c r="Y28" s="3300"/>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300"/>
      <c r="Q29" s="1798" t="str">
        <f t="shared" ref="Q29" si="9">B29</f>
        <v>基础设施水平</v>
      </c>
      <c r="R29" s="770" t="s">
        <v>17</v>
      </c>
      <c r="S29" s="771">
        <f>F29</f>
        <v>100</v>
      </c>
      <c r="T29" s="770" t="s">
        <v>17</v>
      </c>
      <c r="U29" s="771">
        <f>H29</f>
        <v>100</v>
      </c>
      <c r="V29" s="770" t="s">
        <v>17</v>
      </c>
      <c r="W29" s="771">
        <f>J29</f>
        <v>100</v>
      </c>
      <c r="X29" s="772"/>
      <c r="Y29" s="3300"/>
      <c r="Z29" s="55" t="str">
        <f>Q29</f>
        <v>基础设施水平</v>
      </c>
      <c r="AA29" s="1814">
        <f>D29/F29</f>
        <v>1</v>
      </c>
      <c r="AB29" s="1814">
        <f>D29/H29</f>
        <v>1</v>
      </c>
      <c r="AC29" s="1814">
        <f>D29/J29</f>
        <v>1</v>
      </c>
    </row>
    <row r="30" spans="1:29" s="117" customFormat="1" ht="15">
      <c r="A30" s="649"/>
      <c r="B30" s="456"/>
      <c r="C30" s="2705" t="s">
        <v>3295</v>
      </c>
      <c r="D30" s="448"/>
      <c r="E30" s="2706" t="s">
        <v>3295</v>
      </c>
      <c r="F30" s="448"/>
      <c r="G30" s="2706" t="s">
        <v>3295</v>
      </c>
      <c r="H30" s="448"/>
      <c r="I30" s="2706" t="s">
        <v>3295</v>
      </c>
      <c r="J30" s="448"/>
      <c r="K30" s="672"/>
      <c r="L30" s="1135"/>
      <c r="M30" s="1136"/>
      <c r="N30" s="1136"/>
      <c r="O30" s="1137"/>
      <c r="P30" s="3300"/>
      <c r="Q30" s="1798"/>
      <c r="R30" s="770"/>
      <c r="S30" s="771"/>
      <c r="T30" s="770"/>
      <c r="U30" s="771"/>
      <c r="V30" s="770"/>
      <c r="W30" s="771"/>
      <c r="X30" s="772"/>
      <c r="Y30" s="3300"/>
      <c r="Z30" s="55"/>
      <c r="AA30" s="1814">
        <v>1</v>
      </c>
      <c r="AB30" s="1814">
        <v>1</v>
      </c>
      <c r="AC30" s="1814">
        <v>1</v>
      </c>
    </row>
    <row r="31" spans="1:29" ht="15">
      <c r="A31" s="428"/>
      <c r="B31" s="456" t="s">
        <v>2655</v>
      </c>
      <c r="C31" s="616" t="s">
        <v>3296</v>
      </c>
      <c r="D31" s="435">
        <v>100</v>
      </c>
      <c r="E31" s="634" t="s">
        <v>3296</v>
      </c>
      <c r="F31" s="435">
        <f>SUMIF(104:104,E31,105:105)-SUMIF(104:104,C31,105:105)+100</f>
        <v>100</v>
      </c>
      <c r="G31" s="634" t="s">
        <v>3296</v>
      </c>
      <c r="H31" s="435">
        <f>SUMIF(104:104,G31,105:105)-SUMIF(104:104,C31,105:105)+100</f>
        <v>100</v>
      </c>
      <c r="I31" s="634" t="s">
        <v>3296</v>
      </c>
      <c r="J31" s="435">
        <f>SUMIF(104:104,I31,105:105)-SUMIF(104:104,C31,105:105)+100</f>
        <v>100</v>
      </c>
      <c r="K31" s="673"/>
      <c r="L31" s="1143"/>
      <c r="M31" s="1134"/>
      <c r="N31" s="1134"/>
      <c r="O31" s="1142"/>
      <c r="P31" s="330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300"/>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300"/>
      <c r="Q32" s="1813" t="str">
        <f t="shared" si="8"/>
        <v>毗邻道路的类型与等级</v>
      </c>
      <c r="R32" s="774" t="s">
        <v>17</v>
      </c>
      <c r="S32" s="775">
        <f t="shared" si="10"/>
        <v>100</v>
      </c>
      <c r="T32" s="774" t="s">
        <v>17</v>
      </c>
      <c r="U32" s="775">
        <f t="shared" si="11"/>
        <v>100</v>
      </c>
      <c r="V32" s="774" t="s">
        <v>17</v>
      </c>
      <c r="W32" s="775">
        <f t="shared" si="12"/>
        <v>100</v>
      </c>
      <c r="X32" s="1816"/>
      <c r="Y32" s="3300"/>
      <c r="Z32" s="1817" t="str">
        <f t="shared" si="13"/>
        <v>毗邻道路的类型与等级</v>
      </c>
      <c r="AA32" s="1814">
        <f t="shared" si="3"/>
        <v>1</v>
      </c>
      <c r="AB32" s="1814">
        <f t="shared" si="4"/>
        <v>1</v>
      </c>
      <c r="AC32" s="1814">
        <f t="shared" si="5"/>
        <v>1</v>
      </c>
    </row>
    <row r="33" spans="1:29" ht="15">
      <c r="A33" s="428"/>
      <c r="B33" s="456"/>
      <c r="C33" s="447" t="s">
        <v>3297</v>
      </c>
      <c r="D33" s="448"/>
      <c r="E33" s="2616" t="s">
        <v>3297</v>
      </c>
      <c r="F33" s="448"/>
      <c r="G33" s="2616" t="s">
        <v>3297</v>
      </c>
      <c r="H33" s="448"/>
      <c r="I33" s="447" t="s">
        <v>3297</v>
      </c>
      <c r="J33" s="448"/>
      <c r="K33" s="613"/>
      <c r="L33" s="1143"/>
      <c r="M33" s="1134"/>
      <c r="N33" s="1134"/>
      <c r="O33" s="1142"/>
      <c r="P33" s="3300"/>
      <c r="Q33" s="1813"/>
      <c r="R33" s="774"/>
      <c r="S33" s="775"/>
      <c r="T33" s="774"/>
      <c r="U33" s="775"/>
      <c r="V33" s="774"/>
      <c r="W33" s="775"/>
      <c r="X33" s="1816"/>
      <c r="Y33" s="3300"/>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300"/>
      <c r="Q34" s="1813" t="str">
        <f t="shared" si="8"/>
        <v>土地级别</v>
      </c>
      <c r="R34" s="774" t="s">
        <v>17</v>
      </c>
      <c r="S34" s="775">
        <f t="shared" si="10"/>
        <v>100</v>
      </c>
      <c r="T34" s="774" t="s">
        <v>17</v>
      </c>
      <c r="U34" s="775">
        <f t="shared" si="11"/>
        <v>100</v>
      </c>
      <c r="V34" s="774" t="s">
        <v>17</v>
      </c>
      <c r="W34" s="775">
        <f t="shared" si="12"/>
        <v>100</v>
      </c>
      <c r="X34" s="1816"/>
      <c r="Y34" s="330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300"/>
      <c r="Q35" s="1813">
        <f t="shared" si="8"/>
        <v>111</v>
      </c>
      <c r="R35" s="774" t="s">
        <v>17</v>
      </c>
      <c r="S35" s="775">
        <f t="shared" si="10"/>
        <v>100</v>
      </c>
      <c r="T35" s="774" t="s">
        <v>17</v>
      </c>
      <c r="U35" s="775">
        <f t="shared" si="11"/>
        <v>100</v>
      </c>
      <c r="V35" s="774" t="s">
        <v>17</v>
      </c>
      <c r="W35" s="775">
        <f t="shared" si="12"/>
        <v>100</v>
      </c>
      <c r="X35" s="1816"/>
      <c r="Y35" s="330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3" t="s">
        <v>2564</v>
      </c>
      <c r="Q36" s="1813">
        <f t="shared" si="8"/>
        <v>111</v>
      </c>
      <c r="R36" s="774" t="s">
        <v>17</v>
      </c>
      <c r="S36" s="775">
        <f t="shared" si="10"/>
        <v>100</v>
      </c>
      <c r="T36" s="774" t="s">
        <v>17</v>
      </c>
      <c r="U36" s="775">
        <f t="shared" si="11"/>
        <v>100</v>
      </c>
      <c r="V36" s="774" t="s">
        <v>17</v>
      </c>
      <c r="W36" s="775">
        <f t="shared" si="12"/>
        <v>100</v>
      </c>
      <c r="X36" s="1816"/>
      <c r="Y36" s="3304"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04"/>
      <c r="Q37" s="1813">
        <f t="shared" si="8"/>
        <v>111</v>
      </c>
      <c r="R37" s="777" t="s">
        <v>17</v>
      </c>
      <c r="S37" s="778">
        <f t="shared" si="10"/>
        <v>100</v>
      </c>
      <c r="T37" s="777" t="s">
        <v>17</v>
      </c>
      <c r="U37" s="778">
        <f t="shared" si="11"/>
        <v>100</v>
      </c>
      <c r="V37" s="777" t="s">
        <v>17</v>
      </c>
      <c r="W37" s="778">
        <f t="shared" si="12"/>
        <v>100</v>
      </c>
      <c r="X37" s="779"/>
      <c r="Y37" s="3304"/>
      <c r="Z37" s="780">
        <f t="shared" si="13"/>
        <v>111</v>
      </c>
      <c r="AA37" s="1814">
        <f t="shared" si="3"/>
        <v>1</v>
      </c>
      <c r="AB37" s="1814">
        <f t="shared" si="4"/>
        <v>1</v>
      </c>
      <c r="AC37" s="1814">
        <f t="shared" si="5"/>
        <v>1</v>
      </c>
    </row>
    <row r="38" spans="1:29" ht="15">
      <c r="A38" s="472" t="s">
        <v>2562</v>
      </c>
      <c r="B38" s="456" t="s">
        <v>2750</v>
      </c>
      <c r="C38" s="679">
        <f>面积表!G27</f>
        <v>229635.6</v>
      </c>
      <c r="D38" s="467">
        <v>100</v>
      </c>
      <c r="E38" s="679">
        <f>土地案例!E2</f>
        <v>45336</v>
      </c>
      <c r="F38" s="467">
        <f>LOOKUP(E38,117:117,118:118)-LOOKUP(C38,117:117,118:118)+100</f>
        <v>96</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304"/>
      <c r="Q38" s="1813" t="str">
        <f>B38</f>
        <v>宗地面积</v>
      </c>
      <c r="R38" s="774" t="s">
        <v>17</v>
      </c>
      <c r="S38" s="775">
        <f t="shared" si="10"/>
        <v>96</v>
      </c>
      <c r="T38" s="774" t="s">
        <v>17</v>
      </c>
      <c r="U38" s="775">
        <f t="shared" si="11"/>
        <v>95</v>
      </c>
      <c r="V38" s="774" t="s">
        <v>17</v>
      </c>
      <c r="W38" s="775">
        <f t="shared" si="12"/>
        <v>96</v>
      </c>
      <c r="X38" s="1816"/>
      <c r="Y38" s="3304"/>
      <c r="Z38" s="1817" t="str">
        <f t="shared" si="13"/>
        <v>宗地面积</v>
      </c>
      <c r="AA38" s="1814">
        <f t="shared" si="3"/>
        <v>1.0416666666666667</v>
      </c>
      <c r="AB38" s="1814">
        <f t="shared" si="4"/>
        <v>1.0526315789473684</v>
      </c>
      <c r="AC38" s="1814">
        <f t="shared" si="5"/>
        <v>1.0416666666666667</v>
      </c>
    </row>
    <row r="39" spans="1:29" ht="15">
      <c r="A39" s="472"/>
      <c r="B39" s="422" t="s">
        <v>2751</v>
      </c>
      <c r="C39" s="2618" t="s">
        <v>3362</v>
      </c>
      <c r="D39" s="435">
        <v>100</v>
      </c>
      <c r="E39" s="2618" t="s">
        <v>3362</v>
      </c>
      <c r="F39" s="435">
        <f>SUMIF(119:119,E39,120:120)-SUMIF(119:119,C39,120:120)+100</f>
        <v>100</v>
      </c>
      <c r="G39" s="2618" t="s">
        <v>3362</v>
      </c>
      <c r="H39" s="435">
        <f>SUMIF(119:119,G39,120:120)-SUMIF(119:119,C39,120:120)+100</f>
        <v>100</v>
      </c>
      <c r="I39" s="2618" t="s">
        <v>3362</v>
      </c>
      <c r="J39" s="435">
        <f>SUMIF(119:119,I39,120:120)-SUMIF(119:119,C39,120:120)+100</f>
        <v>100</v>
      </c>
      <c r="K39" s="612">
        <v>2</v>
      </c>
      <c r="L39" s="1143"/>
      <c r="M39" s="1134"/>
      <c r="N39" s="1134"/>
      <c r="O39" s="1142"/>
      <c r="P39" s="3304"/>
      <c r="Q39" s="1813" t="str">
        <f t="shared" ref="Q39:Q45" si="14">B39</f>
        <v>宗地形状</v>
      </c>
      <c r="R39" s="774" t="s">
        <v>17</v>
      </c>
      <c r="S39" s="775">
        <f t="shared" si="10"/>
        <v>100</v>
      </c>
      <c r="T39" s="774" t="s">
        <v>17</v>
      </c>
      <c r="U39" s="775">
        <f t="shared" si="11"/>
        <v>100</v>
      </c>
      <c r="V39" s="774" t="s">
        <v>17</v>
      </c>
      <c r="W39" s="775">
        <f t="shared" si="12"/>
        <v>100</v>
      </c>
      <c r="X39" s="1816"/>
      <c r="Y39" s="3304"/>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304"/>
      <c r="Q40" s="1813" t="str">
        <f t="shared" si="14"/>
        <v>临街宽度及深度</v>
      </c>
      <c r="R40" s="774" t="s">
        <v>17</v>
      </c>
      <c r="S40" s="775">
        <f t="shared" si="10"/>
        <v>100</v>
      </c>
      <c r="T40" s="774" t="s">
        <v>17</v>
      </c>
      <c r="U40" s="775">
        <f t="shared" si="11"/>
        <v>100</v>
      </c>
      <c r="V40" s="774" t="s">
        <v>17</v>
      </c>
      <c r="W40" s="775">
        <f t="shared" si="12"/>
        <v>100</v>
      </c>
      <c r="X40" s="1816"/>
      <c r="Y40" s="3304"/>
      <c r="Z40" s="1817" t="str">
        <f t="shared" si="13"/>
        <v>临街宽度及深度</v>
      </c>
      <c r="AA40" s="1814">
        <f t="shared" si="3"/>
        <v>1</v>
      </c>
      <c r="AB40" s="1814">
        <f t="shared" si="4"/>
        <v>1</v>
      </c>
      <c r="AC40" s="1814">
        <f t="shared" si="5"/>
        <v>1</v>
      </c>
    </row>
    <row r="41" spans="1:29" s="117" customFormat="1" ht="15">
      <c r="A41" s="473"/>
      <c r="B41" s="422" t="s">
        <v>2753</v>
      </c>
      <c r="C41" s="2707" t="s">
        <v>3295</v>
      </c>
      <c r="D41" s="136">
        <v>100</v>
      </c>
      <c r="E41" s="2707" t="s">
        <v>3298</v>
      </c>
      <c r="F41" s="435">
        <f>SUMIF(123:123,E41,124:124)-SUMIF(123:123,C41,124:124)+100</f>
        <v>94</v>
      </c>
      <c r="G41" s="2707" t="s">
        <v>3298</v>
      </c>
      <c r="H41" s="435">
        <f>SUMIF(123:123,G41,124:124)-SUMIF(123:123,C41,124:124)+100</f>
        <v>94</v>
      </c>
      <c r="I41" s="2707" t="s">
        <v>3298</v>
      </c>
      <c r="J41" s="435">
        <f>SUMIF(123:123,I41,124:124)-SUMIF(123:123,C41,124:124)+100</f>
        <v>94</v>
      </c>
      <c r="K41" s="612">
        <v>2</v>
      </c>
      <c r="L41" s="1135"/>
      <c r="M41" s="1136"/>
      <c r="N41" s="1136"/>
      <c r="O41" s="1137"/>
      <c r="P41" s="3304"/>
      <c r="Q41" s="1813" t="str">
        <f t="shared" si="14"/>
        <v>宗地开发程度</v>
      </c>
      <c r="R41" s="770" t="s">
        <v>17</v>
      </c>
      <c r="S41" s="771">
        <f t="shared" si="10"/>
        <v>94</v>
      </c>
      <c r="T41" s="770" t="s">
        <v>17</v>
      </c>
      <c r="U41" s="771">
        <f t="shared" si="11"/>
        <v>94</v>
      </c>
      <c r="V41" s="770" t="s">
        <v>17</v>
      </c>
      <c r="W41" s="771">
        <f t="shared" si="12"/>
        <v>94</v>
      </c>
      <c r="X41" s="772"/>
      <c r="Y41" s="3304"/>
      <c r="Z41" s="55" t="str">
        <f t="shared" si="13"/>
        <v>宗地开发程度</v>
      </c>
      <c r="AA41" s="773">
        <f t="shared" si="3"/>
        <v>1.0638297872340425</v>
      </c>
      <c r="AB41" s="773">
        <f t="shared" si="4"/>
        <v>1.0638297872340425</v>
      </c>
      <c r="AC41" s="773">
        <f t="shared" si="5"/>
        <v>1.0638297872340425</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304" t="s">
        <v>2564</v>
      </c>
      <c r="Q42" s="1813" t="str">
        <f t="shared" si="14"/>
        <v>工程地质条件</v>
      </c>
      <c r="R42" s="774" t="s">
        <v>17</v>
      </c>
      <c r="S42" s="775">
        <f t="shared" si="10"/>
        <v>100</v>
      </c>
      <c r="T42" s="774" t="s">
        <v>17</v>
      </c>
      <c r="U42" s="775">
        <f t="shared" si="11"/>
        <v>100</v>
      </c>
      <c r="V42" s="774" t="s">
        <v>17</v>
      </c>
      <c r="W42" s="775">
        <f t="shared" si="12"/>
        <v>100</v>
      </c>
      <c r="X42" s="1816"/>
      <c r="Y42" s="3304"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04"/>
      <c r="Q43" s="1813">
        <f t="shared" si="14"/>
        <v>111</v>
      </c>
      <c r="R43" s="774" t="s">
        <v>17</v>
      </c>
      <c r="S43" s="775">
        <f t="shared" si="10"/>
        <v>100</v>
      </c>
      <c r="T43" s="774" t="s">
        <v>17</v>
      </c>
      <c r="U43" s="775">
        <f t="shared" si="11"/>
        <v>100</v>
      </c>
      <c r="V43" s="774" t="s">
        <v>17</v>
      </c>
      <c r="W43" s="775">
        <f t="shared" si="12"/>
        <v>100</v>
      </c>
      <c r="X43" s="1816"/>
      <c r="Y43" s="330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04"/>
      <c r="Q44" s="1813">
        <f t="shared" si="14"/>
        <v>111</v>
      </c>
      <c r="R44" s="774" t="s">
        <v>17</v>
      </c>
      <c r="S44" s="775">
        <f t="shared" si="10"/>
        <v>100</v>
      </c>
      <c r="T44" s="774" t="s">
        <v>17</v>
      </c>
      <c r="U44" s="775">
        <f t="shared" si="11"/>
        <v>100</v>
      </c>
      <c r="V44" s="774" t="s">
        <v>17</v>
      </c>
      <c r="W44" s="775">
        <f t="shared" si="12"/>
        <v>100</v>
      </c>
      <c r="X44" s="1816"/>
      <c r="Y44" s="3304"/>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04"/>
      <c r="Q45" s="1813">
        <f t="shared" si="14"/>
        <v>111</v>
      </c>
      <c r="R45" s="777" t="s">
        <v>17</v>
      </c>
      <c r="S45" s="778">
        <f t="shared" si="10"/>
        <v>100</v>
      </c>
      <c r="T45" s="777" t="s">
        <v>17</v>
      </c>
      <c r="U45" s="778">
        <f t="shared" si="11"/>
        <v>100</v>
      </c>
      <c r="V45" s="777" t="s">
        <v>17</v>
      </c>
      <c r="W45" s="778">
        <f t="shared" si="12"/>
        <v>100</v>
      </c>
      <c r="X45" s="779"/>
      <c r="Y45" s="3304"/>
      <c r="Z45" s="780">
        <f t="shared" si="13"/>
        <v>111</v>
      </c>
      <c r="AA45" s="1814">
        <f t="shared" si="3"/>
        <v>1</v>
      </c>
      <c r="AB45" s="1814">
        <f t="shared" si="4"/>
        <v>1</v>
      </c>
      <c r="AC45" s="1814">
        <f t="shared" si="5"/>
        <v>1</v>
      </c>
    </row>
    <row r="46" spans="1:29" ht="15">
      <c r="A46" s="479" t="s">
        <v>2719</v>
      </c>
      <c r="B46" s="2709" t="s">
        <v>3299</v>
      </c>
      <c r="C46" s="682" t="s">
        <v>1</v>
      </c>
      <c r="D46" s="481"/>
      <c r="E46" s="482">
        <f>土地案例!M2</f>
        <v>2148</v>
      </c>
      <c r="F46" s="483"/>
      <c r="G46" s="484">
        <f>土地案例!M4</f>
        <v>1620</v>
      </c>
      <c r="H46" s="485"/>
      <c r="I46" s="482">
        <f>土地案例!M5</f>
        <v>1860</v>
      </c>
      <c r="J46" s="485"/>
      <c r="K46" s="783"/>
      <c r="L46" s="1146"/>
      <c r="M46" s="1147"/>
      <c r="N46" s="1134"/>
      <c r="O46" s="1147"/>
      <c r="P46" s="3297" t="str">
        <f>A46</f>
        <v>成交单价</v>
      </c>
      <c r="Q46" s="3297"/>
      <c r="R46" s="3292">
        <f>E46</f>
        <v>2148</v>
      </c>
      <c r="S46" s="3292"/>
      <c r="T46" s="3292">
        <f>G46</f>
        <v>1620</v>
      </c>
      <c r="U46" s="3292"/>
      <c r="V46" s="3292">
        <f>I46</f>
        <v>1860</v>
      </c>
      <c r="W46" s="3292"/>
      <c r="X46" s="759"/>
      <c r="Y46" s="781"/>
      <c r="Z46" s="759"/>
      <c r="AA46" s="759"/>
      <c r="AB46" s="759"/>
      <c r="AC46" s="759"/>
    </row>
    <row r="47" spans="1:29" ht="15.75" thickBot="1">
      <c r="A47" s="486" t="s">
        <v>2668</v>
      </c>
      <c r="B47" s="683"/>
      <c r="C47" s="490">
        <f>R48</f>
        <v>1675</v>
      </c>
      <c r="D47" s="489"/>
      <c r="E47" s="490">
        <f>R47</f>
        <v>1883</v>
      </c>
      <c r="F47" s="491"/>
      <c r="G47" s="488">
        <f>T47</f>
        <v>1512</v>
      </c>
      <c r="H47" s="489"/>
      <c r="I47" s="490">
        <f>V47</f>
        <v>1631</v>
      </c>
      <c r="J47" s="489"/>
      <c r="K47" s="784"/>
      <c r="L47" s="1146"/>
      <c r="M47" s="1147">
        <v>3</v>
      </c>
      <c r="N47" s="1147"/>
      <c r="O47" s="1147"/>
      <c r="P47" s="3297" t="str">
        <f>A47</f>
        <v>比较价值（元/平方米）</v>
      </c>
      <c r="Q47" s="3297"/>
      <c r="R47" s="3325">
        <f>ROUND(PRODUCT(R46,AA7:AA45),0)</f>
        <v>1883</v>
      </c>
      <c r="S47" s="3325"/>
      <c r="T47" s="3325">
        <f>ROUND(PRODUCT(T46,AB7:AB45),0)</f>
        <v>1512</v>
      </c>
      <c r="U47" s="3325"/>
      <c r="V47" s="3325">
        <f>ROUND(PRODUCT(V46,AC7:AC45),0)</f>
        <v>1631</v>
      </c>
      <c r="W47" s="3325"/>
      <c r="X47" s="759"/>
      <c r="Y47" s="759"/>
      <c r="Z47" s="759"/>
      <c r="AA47" s="759"/>
      <c r="AB47" s="759"/>
      <c r="AC47" s="759"/>
    </row>
    <row r="48" spans="1:29" ht="15.75" thickBot="1">
      <c r="A48" s="492" t="s">
        <v>2755</v>
      </c>
      <c r="B48" s="493"/>
      <c r="C48" s="494">
        <f>R48</f>
        <v>1675</v>
      </c>
      <c r="D48" s="494"/>
      <c r="E48" s="494"/>
      <c r="F48" s="494"/>
      <c r="G48" s="494"/>
      <c r="H48" s="494"/>
      <c r="I48" s="494"/>
      <c r="J48" s="494"/>
      <c r="K48" s="785"/>
      <c r="L48" s="1146"/>
      <c r="M48" s="1147">
        <v>7</v>
      </c>
      <c r="N48" s="1147"/>
      <c r="O48" s="1147"/>
      <c r="P48" s="3294" t="str">
        <f>A48</f>
        <v>估价对象XX用房的比较价值（楼面单价，元/平方米）</v>
      </c>
      <c r="Q48" s="3295"/>
      <c r="R48" s="3326">
        <f>ROUND(AVERAGE(R47:V47),0)</f>
        <v>1675</v>
      </c>
      <c r="S48" s="3326"/>
      <c r="T48" s="3326"/>
      <c r="U48" s="3326"/>
      <c r="V48" s="3326"/>
      <c r="W48" s="332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0.14073287307488047</v>
      </c>
      <c r="F51" s="500" t="str">
        <f>IF(OR(E51&gt;=0.3,E51&lt;=-0.3),"超过30%","")</f>
        <v/>
      </c>
      <c r="G51" s="499">
        <f>IF(G46&lt;G47,G47/G46-1,G46/G47-1)</f>
        <v>7.1428571428571397E-2</v>
      </c>
      <c r="H51" s="500" t="str">
        <f>IF(OR(G51&gt;=0.3,G51&lt;=-0.3),"超过30%","")</f>
        <v/>
      </c>
      <c r="I51" s="499">
        <f>IF(I46&lt;I47,I47/I46-1,I46/I47-1)</f>
        <v>0.14040465971796445</v>
      </c>
      <c r="J51" s="500" t="str">
        <f>IF(OR(I51&gt;=0.3,I51&lt;=-0.3),"超过30%","")</f>
        <v/>
      </c>
      <c r="K51" s="1108"/>
      <c r="L51" s="1109"/>
      <c r="M51" s="1147"/>
      <c r="N51" s="1147"/>
      <c r="O51" s="1147"/>
    </row>
    <row r="52" spans="1:15" ht="13.5" customHeight="1">
      <c r="A52" s="1147"/>
      <c r="B52" s="1147"/>
      <c r="C52" s="497" t="s">
        <v>2671</v>
      </c>
      <c r="D52" s="501"/>
      <c r="E52" s="499">
        <f>IF(E47&lt;G47,G47/E47-1,E47/G47-1)</f>
        <v>0.24537037037037046</v>
      </c>
      <c r="F52" s="500" t="str">
        <f>IF(OR(E52&gt;=0.2,E52&lt;=-0.2),"超过20%","")</f>
        <v>超过20%</v>
      </c>
      <c r="G52" s="499">
        <f>IF(G47&lt;I47,I47/G47-1,G47/I47-1)</f>
        <v>7.870370370370372E-2</v>
      </c>
      <c r="H52" s="500" t="str">
        <f>IF(OR(G52&gt;=0.2,G52&lt;=-0.2),"超过20%","")</f>
        <v/>
      </c>
      <c r="I52" s="499">
        <f>IF(I47&lt;E47,E47/I47-1,I47/E47-1)</f>
        <v>0.15450643776824036</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80" t="s">
        <v>2762</v>
      </c>
      <c r="H55" s="3327"/>
      <c r="I55" s="144" t="s">
        <v>2763</v>
      </c>
      <c r="J55" s="2712">
        <f>项目基本情况!F35</f>
        <v>0</v>
      </c>
      <c r="K55" s="2713" t="s">
        <v>2764</v>
      </c>
      <c r="L55" s="1109"/>
      <c r="M55" s="1147"/>
      <c r="N55" s="1147"/>
      <c r="O55" s="1147"/>
    </row>
    <row r="56" spans="1:15" s="692" customFormat="1">
      <c r="A56" s="688" t="s">
        <v>2765</v>
      </c>
      <c r="B56" s="689">
        <f>C48</f>
        <v>1675</v>
      </c>
      <c r="C56" s="690">
        <v>1</v>
      </c>
      <c r="D56" s="1166">
        <v>1</v>
      </c>
      <c r="E56" s="690">
        <f>'数据-汇总表'!E8+'数据-汇总表'!E9</f>
        <v>20447.539999999997</v>
      </c>
      <c r="F56" s="1106">
        <f t="shared" ref="F56:F65" si="15">ROUND(B56*E56/10000,0)</f>
        <v>3425</v>
      </c>
      <c r="G56" s="3279"/>
      <c r="H56" s="3297"/>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328"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328"/>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328"/>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328"/>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40347.69</v>
      </c>
      <c r="F66" s="697">
        <f>IF(B46="楼面地价",SUM(F56:F65),ROUND(C48*E66/10000,0))</f>
        <v>6758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2781</v>
      </c>
      <c r="B71" s="332" t="str">
        <f>"北京市平均增长率"&amp;TEXT(SUMIF(基准地价修正!N21:N25,A71,基准地价修正!P21:P25),"0.00%")</f>
        <v>北京市平均增长率0.00%</v>
      </c>
      <c r="C71" s="603">
        <v>100</v>
      </c>
      <c r="D71" s="595">
        <v>100</v>
      </c>
      <c r="E71" s="595">
        <v>100</v>
      </c>
      <c r="F71" s="595">
        <v>100</v>
      </c>
      <c r="G71" s="595">
        <v>100</v>
      </c>
      <c r="H71" s="595">
        <v>100</v>
      </c>
      <c r="I71" s="595">
        <v>100</v>
      </c>
      <c r="J71" s="595">
        <v>100</v>
      </c>
      <c r="K71" s="595">
        <v>100</v>
      </c>
      <c r="L71" s="595">
        <v>100</v>
      </c>
      <c r="M71" s="1570">
        <v>100</v>
      </c>
      <c r="N71" s="595">
        <v>100</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4" t="s">
        <v>3350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106</v>
      </c>
      <c r="E81" s="544">
        <f t="shared" si="21"/>
        <v>112</v>
      </c>
      <c r="F81" s="544">
        <f t="shared" si="21"/>
        <v>118</v>
      </c>
      <c r="G81" s="544">
        <f t="shared" si="21"/>
        <v>124</v>
      </c>
      <c r="H81" s="544">
        <f t="shared" si="21"/>
        <v>130</v>
      </c>
      <c r="I81" s="544">
        <f t="shared" si="21"/>
        <v>136</v>
      </c>
      <c r="J81" s="544">
        <f t="shared" si="21"/>
        <v>142</v>
      </c>
      <c r="K81" s="544">
        <f t="shared" si="21"/>
        <v>148</v>
      </c>
      <c r="L81" s="544">
        <f t="shared" si="21"/>
        <v>154</v>
      </c>
      <c r="M81" s="544">
        <f t="shared" si="21"/>
        <v>160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65" t="s">
        <v>3353</v>
      </c>
      <c r="D106" s="2965" t="s">
        <v>3354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80000(含)-130000</v>
      </c>
      <c r="H116" s="529" t="str">
        <f t="shared" si="25"/>
        <v>130000(含)-200000</v>
      </c>
      <c r="I116" s="529" t="str">
        <f t="shared" si="25"/>
        <v>200000(含)-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80000</v>
      </c>
      <c r="H117" s="595">
        <v>130000</v>
      </c>
      <c r="I117" s="595">
        <v>200000</v>
      </c>
      <c r="J117" s="596"/>
      <c r="K117" s="596"/>
      <c r="L117" s="597"/>
      <c r="M117" s="598"/>
      <c r="N117" s="1155"/>
      <c r="O117" s="1155"/>
      <c r="P117" s="45"/>
      <c r="Q117" s="504"/>
    </row>
    <row r="118" spans="1:17" ht="15.75" thickBot="1">
      <c r="A118" s="534"/>
      <c r="B118" s="543"/>
      <c r="C118" s="570">
        <v>94</v>
      </c>
      <c r="D118" s="591">
        <v>95</v>
      </c>
      <c r="E118" s="591">
        <v>96</v>
      </c>
      <c r="F118" s="591">
        <v>97</v>
      </c>
      <c r="G118" s="591">
        <v>98</v>
      </c>
      <c r="H118" s="591">
        <v>99</v>
      </c>
      <c r="I118" s="591">
        <v>100</v>
      </c>
      <c r="J118" s="591"/>
      <c r="K118" s="591"/>
      <c r="L118" s="591"/>
      <c r="M118" s="592"/>
      <c r="N118" s="1156"/>
      <c r="O118" s="1156"/>
      <c r="P118" s="45"/>
      <c r="Q118" s="504"/>
    </row>
    <row r="119" spans="1:17" ht="15" thickTop="1">
      <c r="A119" s="599"/>
      <c r="B119" s="538" t="s">
        <v>2790</v>
      </c>
      <c r="C119" s="2967" t="s">
        <v>3363</v>
      </c>
      <c r="D119" s="2967" t="s">
        <v>3364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2965" t="s">
        <v>3355</v>
      </c>
      <c r="D123" s="2965" t="s">
        <v>3357</v>
      </c>
      <c r="E123" s="2965" t="s">
        <v>3358</v>
      </c>
      <c r="F123" s="2965" t="s">
        <v>3356</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67" t="s">
        <v>2646</v>
      </c>
      <c r="S4" s="3268"/>
      <c r="T4" s="3267" t="s">
        <v>2647</v>
      </c>
      <c r="U4" s="3268"/>
      <c r="V4" s="3292" t="s">
        <v>2648</v>
      </c>
      <c r="W4" s="3292"/>
      <c r="X4" s="1816"/>
      <c r="Y4" s="3267" t="s">
        <v>2650</v>
      </c>
      <c r="Z4" s="3268"/>
      <c r="AA4" s="3262" t="s">
        <v>2646</v>
      </c>
      <c r="AB4" s="3263" t="s">
        <v>2647</v>
      </c>
      <c r="AC4" s="3262" t="s">
        <v>2648</v>
      </c>
    </row>
    <row r="5" spans="1:29" ht="15">
      <c r="A5" s="404"/>
      <c r="B5" s="405"/>
      <c r="C5" s="3273" t="s">
        <v>2541</v>
      </c>
      <c r="D5" s="3274"/>
      <c r="E5" s="3271" t="s">
        <v>2542</v>
      </c>
      <c r="F5" s="3272"/>
      <c r="G5" s="3273" t="s">
        <v>2543</v>
      </c>
      <c r="H5" s="3274"/>
      <c r="I5" s="3273" t="s">
        <v>2544</v>
      </c>
      <c r="J5" s="3274"/>
      <c r="K5" s="610"/>
      <c r="L5" s="1133"/>
      <c r="M5" s="1134"/>
      <c r="N5" s="1134"/>
      <c r="O5" s="1134"/>
      <c r="P5" s="3286"/>
      <c r="Q5" s="3287"/>
      <c r="R5" s="3269"/>
      <c r="S5" s="3270"/>
      <c r="T5" s="3269"/>
      <c r="U5" s="3270"/>
      <c r="V5" s="3292"/>
      <c r="W5" s="3292"/>
      <c r="X5" s="1816"/>
      <c r="Y5" s="3269"/>
      <c r="Z5" s="3270"/>
      <c r="AA5" s="3263"/>
      <c r="AB5" s="3263"/>
      <c r="AC5" s="3263"/>
    </row>
    <row r="6" spans="1:29" ht="15.75" thickBot="1">
      <c r="A6" s="406"/>
      <c r="B6" s="407"/>
      <c r="C6" s="3329" t="s">
        <v>2795</v>
      </c>
      <c r="D6" s="3330"/>
      <c r="E6" s="3331" t="s">
        <v>2795</v>
      </c>
      <c r="F6" s="3332"/>
      <c r="G6" s="3329" t="s">
        <v>2795</v>
      </c>
      <c r="H6" s="3330"/>
      <c r="I6" s="3329" t="s">
        <v>2795</v>
      </c>
      <c r="J6" s="3330"/>
      <c r="K6" s="610" t="s">
        <v>2546</v>
      </c>
      <c r="L6" s="1133"/>
      <c r="M6" s="1134"/>
      <c r="N6" s="1134"/>
      <c r="O6" s="1134"/>
      <c r="P6" s="3288"/>
      <c r="Q6" s="3289"/>
      <c r="R6" s="3269"/>
      <c r="S6" s="3270"/>
      <c r="T6" s="3290"/>
      <c r="U6" s="3291"/>
      <c r="V6" s="3292"/>
      <c r="W6" s="3292"/>
      <c r="X6" s="1816"/>
      <c r="Y6" s="3290"/>
      <c r="Z6" s="3291"/>
      <c r="AA6" s="3264"/>
      <c r="AB6" s="3264"/>
      <c r="AC6" s="3264"/>
    </row>
    <row r="7" spans="1:29" s="117" customFormat="1" ht="15.75" thickBot="1">
      <c r="A7" s="408" t="s">
        <v>2547</v>
      </c>
      <c r="B7" s="409"/>
      <c r="C7" s="410">
        <f>'数据-取费表'!B2</f>
        <v>43598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65" t="s">
        <v>2548</v>
      </c>
      <c r="Q7" s="3293"/>
      <c r="R7" s="770" t="s">
        <v>17</v>
      </c>
      <c r="S7" s="771">
        <f t="shared" ref="S7:S15" si="0">F7</f>
        <v>0</v>
      </c>
      <c r="T7" s="770" t="s">
        <v>17</v>
      </c>
      <c r="U7" s="771">
        <f t="shared" ref="U7:U15" si="1">H7</f>
        <v>0</v>
      </c>
      <c r="V7" s="770" t="s">
        <v>17</v>
      </c>
      <c r="W7" s="771">
        <f t="shared" ref="W7:W15" si="2">J7</f>
        <v>0</v>
      </c>
      <c r="X7" s="772"/>
      <c r="Y7" s="3265" t="s">
        <v>2548</v>
      </c>
      <c r="Z7" s="326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5" t="s">
        <v>2551</v>
      </c>
      <c r="Q8" s="3266"/>
      <c r="R8" s="770" t="s">
        <v>17</v>
      </c>
      <c r="S8" s="771">
        <f t="shared" si="0"/>
        <v>0</v>
      </c>
      <c r="T8" s="770" t="s">
        <v>17</v>
      </c>
      <c r="U8" s="771">
        <f t="shared" si="1"/>
        <v>0</v>
      </c>
      <c r="V8" s="770" t="s">
        <v>17</v>
      </c>
      <c r="W8" s="771">
        <f t="shared" si="2"/>
        <v>0</v>
      </c>
      <c r="X8" s="772"/>
      <c r="Y8" s="3265" t="s">
        <v>2551</v>
      </c>
      <c r="Z8" s="3266"/>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97" t="s">
        <v>2554</v>
      </c>
      <c r="Q9" s="1798" t="str">
        <f t="shared" ref="Q9:Q15" si="6">B9</f>
        <v>用途</v>
      </c>
      <c r="R9" s="770" t="s">
        <v>17</v>
      </c>
      <c r="S9" s="771">
        <f t="shared" si="0"/>
        <v>100</v>
      </c>
      <c r="T9" s="770" t="s">
        <v>17</v>
      </c>
      <c r="U9" s="771">
        <f t="shared" si="1"/>
        <v>100</v>
      </c>
      <c r="V9" s="770" t="s">
        <v>17</v>
      </c>
      <c r="W9" s="771">
        <f t="shared" si="2"/>
        <v>100</v>
      </c>
      <c r="X9" s="772"/>
      <c r="Y9" s="3101"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97"/>
      <c r="Q10" s="1798" t="str">
        <f t="shared" si="6"/>
        <v>土地使用年限（年）</v>
      </c>
      <c r="R10" s="770" t="s">
        <v>17</v>
      </c>
      <c r="S10" s="771">
        <f t="shared" si="0"/>
        <v>105</v>
      </c>
      <c r="T10" s="770" t="s">
        <v>17</v>
      </c>
      <c r="U10" s="771">
        <f t="shared" si="1"/>
        <v>105</v>
      </c>
      <c r="V10" s="770" t="s">
        <v>17</v>
      </c>
      <c r="W10" s="771">
        <f t="shared" si="2"/>
        <v>105</v>
      </c>
      <c r="X10" s="772"/>
      <c r="Y10" s="3101"/>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97"/>
      <c r="Q11" s="1798"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97"/>
      <c r="Q12" s="1798">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97"/>
      <c r="Q13" s="1798">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97"/>
      <c r="Q14" s="1798">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773">
        <f t="shared" si="5"/>
        <v>1</v>
      </c>
    </row>
    <row r="15" spans="1:29" ht="57">
      <c r="A15" s="440" t="s">
        <v>2558</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99" t="s">
        <v>2559</v>
      </c>
      <c r="Q15" s="1813" t="str">
        <f t="shared" si="6"/>
        <v>产业集聚程度</v>
      </c>
      <c r="R15" s="774" t="s">
        <v>17</v>
      </c>
      <c r="S15" s="775">
        <f t="shared" si="0"/>
        <v>100</v>
      </c>
      <c r="T15" s="774" t="s">
        <v>17</v>
      </c>
      <c r="U15" s="775">
        <f t="shared" si="1"/>
        <v>100</v>
      </c>
      <c r="V15" s="774" t="s">
        <v>17</v>
      </c>
      <c r="W15" s="775">
        <f t="shared" si="2"/>
        <v>100</v>
      </c>
      <c r="X15" s="1816"/>
      <c r="Y15" s="3299"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300"/>
      <c r="Q16" s="1813"/>
      <c r="R16" s="774"/>
      <c r="S16" s="775"/>
      <c r="T16" s="774"/>
      <c r="U16" s="775"/>
      <c r="V16" s="774"/>
      <c r="W16" s="775"/>
      <c r="X16" s="1816"/>
      <c r="Y16" s="3300"/>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300"/>
      <c r="Q17" s="1813" t="str">
        <f>B17</f>
        <v>交通便捷度</v>
      </c>
      <c r="R17" s="774" t="s">
        <v>17</v>
      </c>
      <c r="S17" s="775">
        <f>F17</f>
        <v>100</v>
      </c>
      <c r="T17" s="774" t="s">
        <v>17</v>
      </c>
      <c r="U17" s="775">
        <f>H17</f>
        <v>100</v>
      </c>
      <c r="V17" s="774" t="s">
        <v>17</v>
      </c>
      <c r="W17" s="775">
        <f>J17</f>
        <v>100</v>
      </c>
      <c r="X17" s="1816"/>
      <c r="Y17" s="3300"/>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300"/>
      <c r="Q18" s="1813"/>
      <c r="R18" s="774"/>
      <c r="S18" s="775"/>
      <c r="T18" s="774"/>
      <c r="U18" s="775"/>
      <c r="V18" s="774"/>
      <c r="W18" s="775"/>
      <c r="X18" s="1816"/>
      <c r="Y18" s="3300"/>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300"/>
      <c r="Q19" s="1813" t="str">
        <f t="shared" ref="Q19:Q33" si="8">B19</f>
        <v>区域土地利用方向</v>
      </c>
      <c r="R19" s="774" t="s">
        <v>17</v>
      </c>
      <c r="S19" s="775">
        <f>F19</f>
        <v>100</v>
      </c>
      <c r="T19" s="774" t="s">
        <v>17</v>
      </c>
      <c r="U19" s="775">
        <f>H19</f>
        <v>100</v>
      </c>
      <c r="V19" s="774" t="s">
        <v>17</v>
      </c>
      <c r="W19" s="775">
        <f>J19</f>
        <v>100</v>
      </c>
      <c r="X19" s="1816"/>
      <c r="Y19" s="3300"/>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300"/>
      <c r="Q20" s="1813"/>
      <c r="R20" s="774"/>
      <c r="S20" s="775"/>
      <c r="T20" s="774"/>
      <c r="U20" s="775"/>
      <c r="V20" s="774"/>
      <c r="W20" s="775"/>
      <c r="X20" s="1816"/>
      <c r="Y20" s="3300"/>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300"/>
      <c r="Q21" s="1813" t="str">
        <f t="shared" si="8"/>
        <v>环境状况</v>
      </c>
      <c r="R21" s="774" t="s">
        <v>17</v>
      </c>
      <c r="S21" s="775">
        <f>F21</f>
        <v>100</v>
      </c>
      <c r="T21" s="774" t="s">
        <v>17</v>
      </c>
      <c r="U21" s="775">
        <f>H21</f>
        <v>100</v>
      </c>
      <c r="V21" s="774" t="s">
        <v>17</v>
      </c>
      <c r="W21" s="775">
        <f>J21</f>
        <v>100</v>
      </c>
      <c r="X21" s="1816"/>
      <c r="Y21" s="3300"/>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300"/>
      <c r="Q22" s="1813"/>
      <c r="R22" s="774"/>
      <c r="S22" s="775"/>
      <c r="T22" s="774"/>
      <c r="U22" s="775"/>
      <c r="V22" s="774"/>
      <c r="W22" s="775"/>
      <c r="X22" s="1816"/>
      <c r="Y22" s="3300"/>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300"/>
      <c r="Q23" s="1798" t="str">
        <f t="shared" si="8"/>
        <v>公共配套设施</v>
      </c>
      <c r="R23" s="770" t="s">
        <v>17</v>
      </c>
      <c r="S23" s="771">
        <f>F23</f>
        <v>100</v>
      </c>
      <c r="T23" s="770" t="s">
        <v>17</v>
      </c>
      <c r="U23" s="771">
        <f>H23</f>
        <v>100</v>
      </c>
      <c r="V23" s="770" t="s">
        <v>17</v>
      </c>
      <c r="W23" s="771">
        <f>J23</f>
        <v>100</v>
      </c>
      <c r="X23" s="772"/>
      <c r="Y23" s="3300"/>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300"/>
      <c r="Q24" s="1798"/>
      <c r="R24" s="770"/>
      <c r="S24" s="771"/>
      <c r="T24" s="770"/>
      <c r="U24" s="771"/>
      <c r="V24" s="770"/>
      <c r="W24" s="771"/>
      <c r="X24" s="772"/>
      <c r="Y24" s="3300"/>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300"/>
      <c r="Q25" s="1798" t="str">
        <f t="shared" ref="Q25" si="9">B25</f>
        <v>基础设施水平</v>
      </c>
      <c r="R25" s="770" t="s">
        <v>17</v>
      </c>
      <c r="S25" s="771">
        <f>F25</f>
        <v>100</v>
      </c>
      <c r="T25" s="770" t="s">
        <v>17</v>
      </c>
      <c r="U25" s="771">
        <f>H25</f>
        <v>100</v>
      </c>
      <c r="V25" s="770" t="s">
        <v>17</v>
      </c>
      <c r="W25" s="771">
        <f>J25</f>
        <v>100</v>
      </c>
      <c r="X25" s="772"/>
      <c r="Y25" s="3300"/>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300"/>
      <c r="Q26" s="1798"/>
      <c r="R26" s="770"/>
      <c r="S26" s="771"/>
      <c r="T26" s="770"/>
      <c r="U26" s="771"/>
      <c r="V26" s="770"/>
      <c r="W26" s="771"/>
      <c r="X26" s="772"/>
      <c r="Y26" s="330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30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300"/>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300"/>
      <c r="Q28" s="1813" t="str">
        <f t="shared" si="8"/>
        <v>毗邻道路的类型与等级</v>
      </c>
      <c r="R28" s="774" t="s">
        <v>17</v>
      </c>
      <c r="S28" s="775">
        <f t="shared" si="10"/>
        <v>100</v>
      </c>
      <c r="T28" s="774" t="s">
        <v>17</v>
      </c>
      <c r="U28" s="775">
        <f t="shared" si="11"/>
        <v>100</v>
      </c>
      <c r="V28" s="774" t="s">
        <v>17</v>
      </c>
      <c r="W28" s="775">
        <f t="shared" si="12"/>
        <v>100</v>
      </c>
      <c r="X28" s="1816"/>
      <c r="Y28" s="3300"/>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300"/>
      <c r="Q29" s="1813"/>
      <c r="R29" s="774"/>
      <c r="S29" s="775"/>
      <c r="T29" s="774"/>
      <c r="U29" s="775"/>
      <c r="V29" s="774"/>
      <c r="W29" s="775"/>
      <c r="X29" s="1816"/>
      <c r="Y29" s="3300"/>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300"/>
      <c r="Q30" s="1813" t="str">
        <f t="shared" si="8"/>
        <v>土地级别</v>
      </c>
      <c r="R30" s="774" t="s">
        <v>17</v>
      </c>
      <c r="S30" s="775">
        <f t="shared" si="10"/>
        <v>100</v>
      </c>
      <c r="T30" s="774" t="s">
        <v>17</v>
      </c>
      <c r="U30" s="775">
        <f t="shared" si="11"/>
        <v>100</v>
      </c>
      <c r="V30" s="774" t="s">
        <v>17</v>
      </c>
      <c r="W30" s="775">
        <f t="shared" si="12"/>
        <v>100</v>
      </c>
      <c r="X30" s="1816"/>
      <c r="Y30" s="3300"/>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300"/>
      <c r="Q31" s="1813">
        <f t="shared" si="8"/>
        <v>111</v>
      </c>
      <c r="R31" s="774" t="s">
        <v>17</v>
      </c>
      <c r="S31" s="775">
        <f t="shared" si="10"/>
        <v>100</v>
      </c>
      <c r="T31" s="774" t="s">
        <v>17</v>
      </c>
      <c r="U31" s="775">
        <f t="shared" si="11"/>
        <v>100</v>
      </c>
      <c r="V31" s="774" t="s">
        <v>17</v>
      </c>
      <c r="W31" s="775">
        <f t="shared" si="12"/>
        <v>100</v>
      </c>
      <c r="X31" s="1816"/>
      <c r="Y31" s="3300"/>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3" t="s">
        <v>2564</v>
      </c>
      <c r="Q32" s="1813">
        <f t="shared" si="8"/>
        <v>111</v>
      </c>
      <c r="R32" s="774" t="s">
        <v>17</v>
      </c>
      <c r="S32" s="775">
        <f t="shared" si="10"/>
        <v>100</v>
      </c>
      <c r="T32" s="774" t="s">
        <v>17</v>
      </c>
      <c r="U32" s="775">
        <f t="shared" si="11"/>
        <v>100</v>
      </c>
      <c r="V32" s="774" t="s">
        <v>17</v>
      </c>
      <c r="W32" s="775">
        <f t="shared" si="12"/>
        <v>100</v>
      </c>
      <c r="X32" s="1816"/>
      <c r="Y32" s="3304"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04"/>
      <c r="Q33" s="1813">
        <f t="shared" si="8"/>
        <v>111</v>
      </c>
      <c r="R33" s="777" t="s">
        <v>17</v>
      </c>
      <c r="S33" s="778">
        <f t="shared" si="10"/>
        <v>100</v>
      </c>
      <c r="T33" s="777" t="s">
        <v>17</v>
      </c>
      <c r="U33" s="778">
        <f t="shared" si="11"/>
        <v>100</v>
      </c>
      <c r="V33" s="777" t="s">
        <v>17</v>
      </c>
      <c r="W33" s="778">
        <f t="shared" si="12"/>
        <v>100</v>
      </c>
      <c r="X33" s="779"/>
      <c r="Y33" s="3304"/>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04"/>
      <c r="Q34" s="1813" t="str">
        <f>B34</f>
        <v>宗地面积</v>
      </c>
      <c r="R34" s="774" t="s">
        <v>17</v>
      </c>
      <c r="S34" s="775" t="e">
        <f t="shared" si="10"/>
        <v>#N/A</v>
      </c>
      <c r="T34" s="774" t="s">
        <v>17</v>
      </c>
      <c r="U34" s="775" t="e">
        <f t="shared" si="11"/>
        <v>#N/A</v>
      </c>
      <c r="V34" s="774" t="s">
        <v>17</v>
      </c>
      <c r="W34" s="775" t="e">
        <f t="shared" si="12"/>
        <v>#N/A</v>
      </c>
      <c r="X34" s="1816"/>
      <c r="Y34" s="3304"/>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304"/>
      <c r="Q35" s="1813" t="str">
        <f t="shared" ref="Q35:Q40" si="14">B35</f>
        <v>宗地形状</v>
      </c>
      <c r="R35" s="774" t="s">
        <v>17</v>
      </c>
      <c r="S35" s="775">
        <f t="shared" si="10"/>
        <v>100</v>
      </c>
      <c r="T35" s="774" t="s">
        <v>17</v>
      </c>
      <c r="U35" s="775">
        <f t="shared" si="11"/>
        <v>100</v>
      </c>
      <c r="V35" s="774" t="s">
        <v>17</v>
      </c>
      <c r="W35" s="775">
        <f t="shared" si="12"/>
        <v>100</v>
      </c>
      <c r="X35" s="1816"/>
      <c r="Y35" s="3304"/>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304"/>
      <c r="Q36" s="1813" t="str">
        <f t="shared" si="14"/>
        <v>宗地开发程度</v>
      </c>
      <c r="R36" s="770" t="s">
        <v>17</v>
      </c>
      <c r="S36" s="771">
        <f t="shared" si="10"/>
        <v>100</v>
      </c>
      <c r="T36" s="770" t="s">
        <v>17</v>
      </c>
      <c r="U36" s="771">
        <f t="shared" si="11"/>
        <v>100</v>
      </c>
      <c r="V36" s="770" t="s">
        <v>17</v>
      </c>
      <c r="W36" s="771">
        <f t="shared" si="12"/>
        <v>100</v>
      </c>
      <c r="X36" s="772"/>
      <c r="Y36" s="3304"/>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304" t="s">
        <v>2564</v>
      </c>
      <c r="Q37" s="1813" t="str">
        <f t="shared" si="14"/>
        <v>工程地质条件</v>
      </c>
      <c r="R37" s="774" t="s">
        <v>17</v>
      </c>
      <c r="S37" s="775">
        <f t="shared" si="10"/>
        <v>100</v>
      </c>
      <c r="T37" s="774" t="s">
        <v>17</v>
      </c>
      <c r="U37" s="775">
        <f t="shared" si="11"/>
        <v>100</v>
      </c>
      <c r="V37" s="774" t="s">
        <v>17</v>
      </c>
      <c r="W37" s="775">
        <f t="shared" si="12"/>
        <v>100</v>
      </c>
      <c r="X37" s="1816"/>
      <c r="Y37" s="3304"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04"/>
      <c r="Q38" s="1813">
        <f t="shared" si="14"/>
        <v>111</v>
      </c>
      <c r="R38" s="774" t="s">
        <v>17</v>
      </c>
      <c r="S38" s="775">
        <f t="shared" si="10"/>
        <v>100</v>
      </c>
      <c r="T38" s="774" t="s">
        <v>17</v>
      </c>
      <c r="U38" s="775">
        <f t="shared" si="11"/>
        <v>100</v>
      </c>
      <c r="V38" s="774" t="s">
        <v>17</v>
      </c>
      <c r="W38" s="775">
        <f t="shared" si="12"/>
        <v>100</v>
      </c>
      <c r="X38" s="1816"/>
      <c r="Y38" s="330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04"/>
      <c r="Q39" s="1813">
        <f t="shared" si="14"/>
        <v>111</v>
      </c>
      <c r="R39" s="774" t="s">
        <v>17</v>
      </c>
      <c r="S39" s="775">
        <f t="shared" si="10"/>
        <v>100</v>
      </c>
      <c r="T39" s="774" t="s">
        <v>17</v>
      </c>
      <c r="U39" s="775">
        <f t="shared" si="11"/>
        <v>100</v>
      </c>
      <c r="V39" s="774" t="s">
        <v>17</v>
      </c>
      <c r="W39" s="775">
        <f t="shared" si="12"/>
        <v>100</v>
      </c>
      <c r="X39" s="1816"/>
      <c r="Y39" s="3304"/>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04"/>
      <c r="Q40" s="1813">
        <f t="shared" si="14"/>
        <v>111</v>
      </c>
      <c r="R40" s="777" t="s">
        <v>17</v>
      </c>
      <c r="S40" s="778">
        <f t="shared" si="10"/>
        <v>100</v>
      </c>
      <c r="T40" s="777" t="s">
        <v>17</v>
      </c>
      <c r="U40" s="778">
        <f t="shared" si="11"/>
        <v>100</v>
      </c>
      <c r="V40" s="777" t="s">
        <v>17</v>
      </c>
      <c r="W40" s="778">
        <f t="shared" si="12"/>
        <v>100</v>
      </c>
      <c r="X40" s="779"/>
      <c r="Y40" s="3304"/>
      <c r="Z40" s="780">
        <f t="shared" si="13"/>
        <v>111</v>
      </c>
      <c r="AA40" s="1814">
        <f t="shared" si="3"/>
        <v>1</v>
      </c>
      <c r="AB40" s="1814">
        <f t="shared" si="4"/>
        <v>1</v>
      </c>
      <c r="AC40" s="1814">
        <f t="shared" si="5"/>
        <v>1</v>
      </c>
    </row>
    <row r="41" spans="1:29" ht="15">
      <c r="A41" s="479" t="s">
        <v>2719</v>
      </c>
      <c r="B41" s="2709" t="s">
        <v>2798</v>
      </c>
      <c r="C41" s="682" t="s">
        <v>1</v>
      </c>
      <c r="D41" s="481"/>
      <c r="E41" s="482"/>
      <c r="F41" s="483"/>
      <c r="G41" s="484"/>
      <c r="H41" s="485"/>
      <c r="I41" s="482"/>
      <c r="J41" s="485"/>
      <c r="K41" s="783"/>
      <c r="L41" s="1146"/>
      <c r="M41" s="1134"/>
      <c r="N41" s="1134"/>
      <c r="O41" s="1147"/>
      <c r="P41" s="3297" t="str">
        <f>A41</f>
        <v>成交单价</v>
      </c>
      <c r="Q41" s="3297"/>
      <c r="R41" s="3292">
        <f>E41</f>
        <v>0</v>
      </c>
      <c r="S41" s="3292"/>
      <c r="T41" s="3292">
        <f>G41</f>
        <v>0</v>
      </c>
      <c r="U41" s="3292"/>
      <c r="V41" s="3292">
        <f>I41</f>
        <v>0</v>
      </c>
      <c r="W41" s="329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97" t="str">
        <f>A42</f>
        <v>比较价值（元/平方米）</v>
      </c>
      <c r="Q42" s="3297"/>
      <c r="R42" s="3325" t="e">
        <f>ROUND(PRODUCT(R41,AA7:AA40),0)</f>
        <v>#DIV/0!</v>
      </c>
      <c r="S42" s="3325"/>
      <c r="T42" s="3325" t="e">
        <f>ROUND(PRODUCT(T41,AB7:AB40),0)</f>
        <v>#DIV/0!</v>
      </c>
      <c r="U42" s="3325"/>
      <c r="V42" s="3325" t="e">
        <f>ROUND(PRODUCT(V41,AC7:AC40),0)</f>
        <v>#DIV/0!</v>
      </c>
      <c r="W42" s="3325"/>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94" t="str">
        <f>A43</f>
        <v>估价对象XX用房的比较价值（楼面单价，元/平方米）</v>
      </c>
      <c r="Q43" s="3295"/>
      <c r="R43" s="3326" t="e">
        <f>ROUND(AVERAGE(R42:V42),0)</f>
        <v>#DIV/0!</v>
      </c>
      <c r="S43" s="3326"/>
      <c r="T43" s="3326"/>
      <c r="U43" s="3326"/>
      <c r="V43" s="3326"/>
      <c r="W43" s="332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280" t="s">
        <v>2762</v>
      </c>
      <c r="H50" s="3327"/>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20447.539999999997</v>
      </c>
      <c r="F51" s="691" t="e">
        <f t="shared" ref="F51:F60" si="15">ROUND(B51*E51/10000,0)</f>
        <v>#DIV/0!</v>
      </c>
      <c r="G51" s="3279"/>
      <c r="H51" s="3297"/>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28"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28"/>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28"/>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28"/>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40347.69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0</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6" t="s">
        <v>2811</v>
      </c>
      <c r="D2" s="2727" t="s">
        <v>2812</v>
      </c>
      <c r="E2" s="2728"/>
      <c r="F2" s="2727" t="s">
        <v>2813</v>
      </c>
      <c r="G2" s="2729">
        <f>IF(E2="商业",项目基本情况!B37,IF(E2="办公",项目基本情况!C37,IF(E2="住宅",项目基本情况!D37,项目基本情况!E37)))</f>
        <v>0</v>
      </c>
      <c r="H2" s="2727" t="s">
        <v>2814</v>
      </c>
      <c r="I2" s="2729">
        <f>IF(E2="商业",项目基本情况!B38,IF(E2="办公",项目基本情况!C38,IF(E2="住宅",项目基本情况!D38,项目基本情况!E38)))</f>
        <v>0</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6" t="s">
        <v>2817</v>
      </c>
      <c r="D3" s="2727" t="s">
        <v>2818</v>
      </c>
      <c r="E3" s="2732"/>
      <c r="F3" s="2733" t="s">
        <v>2819</v>
      </c>
      <c r="G3" s="916">
        <f>IF(F3="宗地容积率",'数据-汇总表'!I4,IF(F3="估价对象容积率",'数据-汇总表'!I6,'数据-汇总表'!I7))</f>
        <v>0.51</v>
      </c>
      <c r="H3" s="198" t="s">
        <v>2820</v>
      </c>
      <c r="I3" s="947"/>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47"/>
      <c r="B4" s="3348"/>
      <c r="C4" s="3348"/>
      <c r="D4" s="3349"/>
      <c r="E4" s="3349"/>
      <c r="F4" s="3349"/>
      <c r="G4" s="3349"/>
      <c r="H4" s="3349"/>
      <c r="I4" s="3349"/>
      <c r="J4" s="3350"/>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2824</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33" t="str">
        <f>IF(E2="商业",IF(C8="不临58条商业街","",2),"")</f>
        <v/>
      </c>
      <c r="B7" s="2750" t="s">
        <v>2830</v>
      </c>
      <c r="C7" s="919" t="e">
        <f>IF(C8="不临58条商业街",1,ROUND(1+(1.6*E8+1.2*E9+0.8*E10+0.4*E11)*C9,4))</f>
        <v>#DIV/0!</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0.51</v>
      </c>
      <c r="AA7" s="1609"/>
      <c r="AB7" s="1609"/>
      <c r="AC7" s="1610"/>
      <c r="AD7" s="1611"/>
      <c r="AE7" s="1611"/>
      <c r="AF7" s="1611"/>
      <c r="AG7" s="1611"/>
      <c r="AH7" s="1611"/>
      <c r="AI7" s="1611"/>
      <c r="AJ7" s="1612"/>
    </row>
    <row r="8" spans="1:36" ht="15">
      <c r="A8" s="3334"/>
      <c r="B8" s="198" t="s">
        <v>2835</v>
      </c>
      <c r="C8" s="2755"/>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44" t="s">
        <v>2838</v>
      </c>
      <c r="X8" s="3345"/>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334"/>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46"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34"/>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4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34"/>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46" t="s">
        <v>2862</v>
      </c>
      <c r="X11" s="1617" t="s">
        <v>2863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333"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46"/>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51"/>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t="e">
        <f t="shared" si="0"/>
        <v>#DIV/0!</v>
      </c>
      <c r="U13" s="1606"/>
      <c r="V13" s="1605" t="e">
        <f t="shared" si="1"/>
        <v>#DIV/0!</v>
      </c>
      <c r="W13" s="3346"/>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351"/>
      <c r="B14" s="2773"/>
      <c r="C14" s="2774"/>
      <c r="D14" s="2775"/>
      <c r="E14" s="2775"/>
      <c r="F14" s="2776"/>
      <c r="G14" s="2777" t="s">
        <v>2875</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52"/>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33" t="s">
        <v>2881</v>
      </c>
      <c r="B16" s="2750" t="s">
        <v>2882</v>
      </c>
      <c r="C16" s="1804" t="e">
        <f>ROUND(SUM(G17:J17)/C17,0)</f>
        <v>#DIV/0!</v>
      </c>
      <c r="D16" s="2784" t="s">
        <v>2883</v>
      </c>
      <c r="E16" s="2785"/>
      <c r="F16" s="2786"/>
      <c r="G16" s="2787"/>
      <c r="H16" s="2787"/>
      <c r="I16" s="2787"/>
      <c r="J16" s="2788"/>
      <c r="K16" s="1373"/>
      <c r="L16" s="2789"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34"/>
      <c r="B17" s="2790" t="s">
        <v>2885</v>
      </c>
      <c r="C17" s="924">
        <f>SUMPRODUCT((修正!A2:A5=E2)*(修正!B1:M1=G2)*(修正!B2:M5))</f>
        <v>0</v>
      </c>
      <c r="D17" s="2791"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2889</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2890</v>
      </c>
      <c r="C19" s="927" t="e">
        <f>ROUND(IF(H19="按公示增长率计算",SUMPRODUCT((地价!A3:A25=YEAR(G19)&amp;"-"&amp;ROUNDUP(MONTH(G19)/3,0))*(地价!X2:AB2=E2)*(地价!X3:AB25)),IF(H19="地价指数",M20/M19,(1+I19)^O19)),4)</f>
        <v>#DIV/0!</v>
      </c>
      <c r="D19" s="2802" t="s">
        <v>2891</v>
      </c>
      <c r="E19" s="928">
        <v>41640</v>
      </c>
      <c r="F19" s="2802" t="s">
        <v>2892</v>
      </c>
      <c r="G19" s="929">
        <f>'数据-取费表'!B2</f>
        <v>43598</v>
      </c>
      <c r="H19" s="2803" t="s">
        <v>2893</v>
      </c>
      <c r="I19" s="930" t="str">
        <f>IF(H19="季度增幅（自定义）",SUMIF(N21:N24,E2,O21:O24),"")</f>
        <v/>
      </c>
      <c r="J19" s="2800"/>
      <c r="K19" s="1380"/>
      <c r="L19" s="2804" t="s">
        <v>2894</v>
      </c>
      <c r="M19" s="1737">
        <f>ROUND(SUMIF(地价!B2:F2,E2,地价!B25:F25),0)</f>
        <v>0</v>
      </c>
      <c r="N19" s="2805"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t="e">
        <f>ROUND(POWER(1+G20,J20-I20)*(POWER(1+G20,I20)-1)/(POWER(1+G20,J20)-1),4)</f>
        <v>#DIV/0!</v>
      </c>
      <c r="D20" s="2811" t="s">
        <v>2897</v>
      </c>
      <c r="E20" s="1771">
        <f ca="1">存贷款利率!D4/100</f>
        <v>4.3499999999999997E-2</v>
      </c>
      <c r="F20" s="2811" t="s">
        <v>2888</v>
      </c>
      <c r="G20" s="937">
        <f>SUMIF(M15:P15,E2,M17:P17)</f>
        <v>0</v>
      </c>
      <c r="H20" s="2811" t="s">
        <v>2898</v>
      </c>
      <c r="I20" s="938" t="e">
        <f>SUMIF('数据-取费表'!C6:C15,E2,'数据-取费表'!F6:F15)/COUNTIF('数据-取费表'!C6:C15,E2)</f>
        <v>#DIV/0!</v>
      </c>
      <c r="J20" s="939">
        <f>IF(E2="住宅",70,IF(E2="商业",40,50))</f>
        <v>50</v>
      </c>
      <c r="K20" s="1380"/>
      <c r="L20" s="2812" t="s">
        <v>2899</v>
      </c>
      <c r="M20" s="1738">
        <f>ROUND(SUMPRODUCT((地价!A4:A25=YEAR(G19)&amp;"-"&amp;ROUNDUP(MONTH(G19)/3,0))*(地价!B2:F2=E2)*(地价!B4:F25)),0)</f>
        <v>0</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2903</v>
      </c>
      <c r="C21" s="940">
        <f>IF(B21="容积率修正",IF(G3&lt;=10,D22,J22),C23)</f>
        <v>0</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0</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ROUND(C5*C18*C19*C20*C21*C24,0)</f>
        <v>#DIV/0!</v>
      </c>
      <c r="D29" s="2850"/>
      <c r="E29" s="945" t="e">
        <f>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ROUND(IF(E2="工业",C29*M39,C29*M38),0)</f>
        <v>#DIV/0!</v>
      </c>
      <c r="D30" s="2856"/>
      <c r="E30" s="945" t="e">
        <f>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41" t="s">
        <v>2930</v>
      </c>
      <c r="B33" s="2866" t="s">
        <v>2931</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42"/>
      <c r="B34" s="2770" t="s">
        <v>2932</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42"/>
      <c r="B35" s="2770" t="s">
        <v>2933</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43"/>
      <c r="B36" s="2770" t="s">
        <v>2934</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2888</v>
      </c>
      <c r="E41" s="2942">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2596</v>
      </c>
      <c r="K80" s="603" t="s">
        <v>2597</v>
      </c>
      <c r="L80" s="603" t="s">
        <v>2598</v>
      </c>
      <c r="M80" s="603" t="s">
        <v>2599</v>
      </c>
      <c r="N80" s="603" t="s">
        <v>2600</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2952</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2966</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2958</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2959</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2956</v>
      </c>
      <c r="B87" s="2889" t="s">
        <v>2970</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35" t="s">
        <v>2972</v>
      </c>
      <c r="B90" s="3335"/>
      <c r="C90" s="3335"/>
      <c r="D90" s="3335"/>
      <c r="E90" s="3335"/>
      <c r="F90" s="3335"/>
      <c r="G90" s="3335"/>
      <c r="H90" s="3335"/>
      <c r="I90" s="3335"/>
      <c r="J90" s="3335"/>
      <c r="K90" s="2897"/>
      <c r="L90" s="2897"/>
      <c r="M90" s="2897"/>
      <c r="N90" s="2897"/>
    </row>
    <row r="91" spans="1:37">
      <c r="A91" s="3337" t="s">
        <v>2973</v>
      </c>
      <c r="B91" s="3337" t="s">
        <v>2974</v>
      </c>
      <c r="C91" s="2851" t="s">
        <v>2975</v>
      </c>
      <c r="D91" s="2852"/>
      <c r="E91" s="2852"/>
      <c r="F91" s="2852"/>
      <c r="G91" s="2852"/>
      <c r="H91" s="2852"/>
      <c r="I91" s="2852"/>
      <c r="J91" s="2898"/>
      <c r="K91" s="2899"/>
      <c r="L91" s="2899"/>
      <c r="M91" s="2899"/>
      <c r="N91" s="2899"/>
    </row>
    <row r="92" spans="1:37">
      <c r="A92" s="3337"/>
      <c r="B92" s="3337"/>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38"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3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3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3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3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3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39"/>
      <c r="B99" s="2900" t="s">
        <v>2855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4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38" t="s">
        <v>2977</v>
      </c>
      <c r="B101" s="2904" t="s">
        <v>2978</v>
      </c>
      <c r="C101" s="2905">
        <f>$G$3</f>
        <v>0.51</v>
      </c>
      <c r="D101" s="2905">
        <f t="shared" ref="D101:N101" si="31">$G$3</f>
        <v>0.51</v>
      </c>
      <c r="E101" s="2905">
        <f t="shared" si="31"/>
        <v>0.51</v>
      </c>
      <c r="F101" s="2905">
        <f t="shared" si="31"/>
        <v>0.51</v>
      </c>
      <c r="G101" s="2905">
        <f t="shared" si="31"/>
        <v>0.51</v>
      </c>
      <c r="H101" s="2905">
        <f t="shared" si="31"/>
        <v>0.51</v>
      </c>
      <c r="I101" s="2905">
        <f t="shared" si="31"/>
        <v>0.51</v>
      </c>
      <c r="J101" s="2905">
        <f t="shared" si="31"/>
        <v>0.51</v>
      </c>
      <c r="K101" s="2905">
        <f t="shared" si="31"/>
        <v>0.51</v>
      </c>
      <c r="L101" s="2905">
        <f t="shared" si="31"/>
        <v>0.51</v>
      </c>
      <c r="M101" s="2905">
        <f t="shared" si="31"/>
        <v>0.51</v>
      </c>
      <c r="N101" s="2905">
        <f t="shared" si="31"/>
        <v>0.51</v>
      </c>
    </row>
    <row r="102" spans="1:14">
      <c r="A102" s="3339"/>
      <c r="B102" s="2900">
        <v>1</v>
      </c>
      <c r="C102" s="2901">
        <f>1.9362/C101</f>
        <v>3.796470588235294</v>
      </c>
      <c r="D102" s="2901">
        <f>1.9362/D101</f>
        <v>3.796470588235294</v>
      </c>
      <c r="E102" s="2901">
        <f>1.8629/E101</f>
        <v>3.6527450980392158</v>
      </c>
      <c r="F102" s="2901">
        <f>1.8629/F101</f>
        <v>3.6527450980392158</v>
      </c>
      <c r="G102" s="2901">
        <f>1.8629/G101</f>
        <v>3.6527450980392158</v>
      </c>
      <c r="H102" s="2901">
        <f>1.8629/H101</f>
        <v>3.6527450980392158</v>
      </c>
      <c r="I102" s="2901">
        <f>1.8629/I101</f>
        <v>3.6527450980392158</v>
      </c>
      <c r="J102" s="2901">
        <f>1.942/J101</f>
        <v>3.8078431372549018</v>
      </c>
      <c r="K102" s="2901">
        <f>1.942/K101</f>
        <v>3.8078431372549018</v>
      </c>
      <c r="L102" s="2901">
        <f>1.942/L101</f>
        <v>3.8078431372549018</v>
      </c>
      <c r="M102" s="2901">
        <f>1.942/M101</f>
        <v>3.8078431372549018</v>
      </c>
      <c r="N102" s="2901">
        <f>1.942/N101</f>
        <v>3.8078431372549018</v>
      </c>
    </row>
    <row r="103" spans="1:14">
      <c r="A103" s="3339"/>
      <c r="B103" s="2900">
        <v>2</v>
      </c>
      <c r="C103" s="2901">
        <f>1.4198/C101</f>
        <v>2.7839215686274508</v>
      </c>
      <c r="D103" s="2901">
        <f>1.4198/D101</f>
        <v>2.7839215686274508</v>
      </c>
      <c r="E103" s="2901">
        <f>1.3372/E101</f>
        <v>2.6219607843137251</v>
      </c>
      <c r="F103" s="2901">
        <f>1.3372/F101</f>
        <v>2.6219607843137251</v>
      </c>
      <c r="G103" s="2901">
        <f>1.3372/G101</f>
        <v>2.6219607843137251</v>
      </c>
      <c r="H103" s="2901">
        <f>1.3372/H101</f>
        <v>2.6219607843137251</v>
      </c>
      <c r="I103" s="2901">
        <f>1.3372/I101</f>
        <v>2.6219607843137251</v>
      </c>
      <c r="J103" s="2901">
        <f>1.2799/J101</f>
        <v>2.509607843137255</v>
      </c>
      <c r="K103" s="2901">
        <f>1.2799/K101</f>
        <v>2.509607843137255</v>
      </c>
      <c r="L103" s="2901">
        <f>1.2799/L101</f>
        <v>2.509607843137255</v>
      </c>
      <c r="M103" s="2901">
        <f>1.2799/M101</f>
        <v>2.509607843137255</v>
      </c>
      <c r="N103" s="2901">
        <f>1.2799/N101</f>
        <v>2.509607843137255</v>
      </c>
    </row>
    <row r="104" spans="1:14">
      <c r="A104" s="3339"/>
      <c r="B104" s="2900">
        <v>3</v>
      </c>
      <c r="C104" s="2901">
        <f>1.1594/C101</f>
        <v>2.2733333333333334</v>
      </c>
      <c r="D104" s="2901">
        <f>1.1594/D101</f>
        <v>2.2733333333333334</v>
      </c>
      <c r="E104" s="2901">
        <f>1.0788/E101</f>
        <v>2.1152941176470588</v>
      </c>
      <c r="F104" s="2901">
        <f>1.0788/F101</f>
        <v>2.1152941176470588</v>
      </c>
      <c r="G104" s="2901">
        <f>1.0788/G101</f>
        <v>2.1152941176470588</v>
      </c>
      <c r="H104" s="2901">
        <f>1.0788/H101</f>
        <v>2.1152941176470588</v>
      </c>
      <c r="I104" s="2901">
        <f>1.0788/I101</f>
        <v>2.1152941176470588</v>
      </c>
      <c r="J104" s="2901">
        <f>1.0072/J101</f>
        <v>1.9749019607843139</v>
      </c>
      <c r="K104" s="2901">
        <f>1.0072/K101</f>
        <v>1.9749019607843139</v>
      </c>
      <c r="L104" s="2901">
        <f>1.0072/L101</f>
        <v>1.9749019607843139</v>
      </c>
      <c r="M104" s="2901">
        <f>1.0072/M101</f>
        <v>1.9749019607843139</v>
      </c>
      <c r="N104" s="2901">
        <f>1.0072/N101</f>
        <v>1.9749019607843139</v>
      </c>
    </row>
    <row r="105" spans="1:14">
      <c r="A105" s="3339"/>
      <c r="B105" s="2900">
        <v>4</v>
      </c>
      <c r="C105" s="2901">
        <f>0.9622/C101</f>
        <v>1.8866666666666667</v>
      </c>
      <c r="D105" s="2901">
        <f>0.9622/D101</f>
        <v>1.8866666666666667</v>
      </c>
      <c r="E105" s="2901">
        <f>0.8656/E101</f>
        <v>1.6972549019607843</v>
      </c>
      <c r="F105" s="2901">
        <f>0.8656/F101</f>
        <v>1.6972549019607843</v>
      </c>
      <c r="G105" s="2901">
        <f>0.8656/G101</f>
        <v>1.6972549019607843</v>
      </c>
      <c r="H105" s="2901">
        <f>0.8656/H101</f>
        <v>1.6972549019607843</v>
      </c>
      <c r="I105" s="2901">
        <f>0.8656/I101</f>
        <v>1.6972549019607843</v>
      </c>
      <c r="J105" s="2901">
        <f>0.7525/J101</f>
        <v>1.4754901960784312</v>
      </c>
      <c r="K105" s="2901">
        <f>0.7525/K101</f>
        <v>1.4754901960784312</v>
      </c>
      <c r="L105" s="2901">
        <f>0.7525/L101</f>
        <v>1.4754901960784312</v>
      </c>
      <c r="M105" s="2901">
        <f>0.7525/M101</f>
        <v>1.4754901960784312</v>
      </c>
      <c r="N105" s="2901">
        <f>0.7525/N101</f>
        <v>1.4754901960784312</v>
      </c>
    </row>
    <row r="106" spans="1:14">
      <c r="A106" s="3339"/>
      <c r="B106" s="2900">
        <v>5</v>
      </c>
      <c r="C106" s="2901">
        <f>0.8417/C101</f>
        <v>1.6503921568627451</v>
      </c>
      <c r="D106" s="2901">
        <f>0.8417/D101</f>
        <v>1.6503921568627451</v>
      </c>
      <c r="E106" s="2901">
        <f>0.7371/E101</f>
        <v>1.4452941176470588</v>
      </c>
      <c r="F106" s="2901">
        <f>0.7371/F101</f>
        <v>1.4452941176470588</v>
      </c>
      <c r="G106" s="2901">
        <f>0.7371/G101</f>
        <v>1.4452941176470588</v>
      </c>
      <c r="H106" s="2901">
        <f>0.7371/H101</f>
        <v>1.4452941176470588</v>
      </c>
      <c r="I106" s="2901">
        <f>0.7371/I101</f>
        <v>1.4452941176470588</v>
      </c>
      <c r="J106" s="2901">
        <f>0.5659/J101</f>
        <v>1.1096078431372549</v>
      </c>
      <c r="K106" s="2901">
        <f>0.5659/K101</f>
        <v>1.1096078431372549</v>
      </c>
      <c r="L106" s="2901">
        <f>0.5659/L101</f>
        <v>1.1096078431372549</v>
      </c>
      <c r="M106" s="2901">
        <f>0.5659/M101</f>
        <v>1.1096078431372549</v>
      </c>
      <c r="N106" s="2901">
        <f>0.5659/N101</f>
        <v>1.1096078431372549</v>
      </c>
    </row>
    <row r="107" spans="1:14">
      <c r="A107" s="3339"/>
      <c r="B107" s="2900">
        <v>6</v>
      </c>
      <c r="C107" s="2901">
        <f>0.7608/C101</f>
        <v>1.4917647058823529</v>
      </c>
      <c r="D107" s="2901">
        <f>0.7608/D101</f>
        <v>1.4917647058823529</v>
      </c>
      <c r="E107" s="2901">
        <f>0.6482/E101</f>
        <v>1.2709803921568628</v>
      </c>
      <c r="F107" s="2901">
        <f>0.6482/F101</f>
        <v>1.2709803921568628</v>
      </c>
      <c r="G107" s="2901">
        <f>0.6482/G101</f>
        <v>1.2709803921568628</v>
      </c>
      <c r="H107" s="2901">
        <f>0.6482/H101</f>
        <v>1.2709803921568628</v>
      </c>
      <c r="I107" s="2901">
        <f>0.6482/I101</f>
        <v>1.2709803921568628</v>
      </c>
      <c r="J107" s="2901">
        <f>0.4525/J101</f>
        <v>0.88725490196078427</v>
      </c>
      <c r="K107" s="2901">
        <f>0.4525/K101</f>
        <v>0.88725490196078427</v>
      </c>
      <c r="L107" s="2901">
        <f>0.4525/L101</f>
        <v>0.88725490196078427</v>
      </c>
      <c r="M107" s="2901">
        <f>0.4525/M101</f>
        <v>0.88725490196078427</v>
      </c>
      <c r="N107" s="2901">
        <f>0.4525/N101</f>
        <v>0.88725490196078427</v>
      </c>
    </row>
    <row r="108" spans="1:14">
      <c r="A108" s="3339"/>
      <c r="B108" s="3167"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40"/>
      <c r="B109" s="3168"/>
      <c r="C109" s="2903">
        <f>(-0.163*(C108^2)-0.59*C108+7617)*(10^(-4))/C101</f>
        <v>1.493529411764706</v>
      </c>
      <c r="D109" s="2903">
        <f>(-0.163*(D108^2)-0.59*D108+7617)*(10^(-4))/D101</f>
        <v>1.493529411764706</v>
      </c>
      <c r="E109" s="2903">
        <f>(-0.161*(E108^2)-7.509*E108+6533)*(10^(-4))/E101</f>
        <v>1.2809803921568628</v>
      </c>
      <c r="F109" s="2903">
        <f>(-0.161*(F108^2)-7.509*F108+6533)*(10^(-4))/F101</f>
        <v>1.2809803921568628</v>
      </c>
      <c r="G109" s="2903">
        <f>(-0.161*(G108^2)-7.509*G108+6533)*(10^(-4))/G101</f>
        <v>1.2809803921568628</v>
      </c>
      <c r="H109" s="2903">
        <f>(-0.161*(H108^2)-7.509*H108+6533)*(10^(-4))/H101</f>
        <v>1.2809803921568628</v>
      </c>
      <c r="I109" s="2903">
        <f>(-0.161*(I108^2)-7.509*I108+6533)*(10^(-4))/I101</f>
        <v>1.2809803921568628</v>
      </c>
      <c r="J109" s="2903">
        <f>(-0.214*(J108^2)-21.991*J108+4665)*(10^(-4))/J101</f>
        <v>0.91470588235294126</v>
      </c>
      <c r="K109" s="2903">
        <f>(-0.214*(K108^2)-21.991*K108+4665)*(10^(-4))/K101</f>
        <v>0.91470588235294126</v>
      </c>
      <c r="L109" s="2903">
        <f>(-0.214*(L108^2)-21.991*L108+4665)*(10^(-4))/L101</f>
        <v>0.91470588235294126</v>
      </c>
      <c r="M109" s="2903">
        <f>(-0.214*(M108^2)-21.991*M108+4665)*(10^(-4))/M101</f>
        <v>0.91470588235294126</v>
      </c>
      <c r="N109" s="2903">
        <f>(-0.214*(N108^2)-21.991*N108+4665)*(10^(-4))/N101</f>
        <v>0.91470588235294126</v>
      </c>
    </row>
    <row r="110" spans="1:14">
      <c r="A110" s="3336" t="s">
        <v>2980</v>
      </c>
      <c r="B110" s="3336"/>
      <c r="C110" s="3336"/>
      <c r="D110" s="3336"/>
      <c r="E110" s="3336"/>
      <c r="F110" s="3336"/>
      <c r="G110" s="3336"/>
      <c r="H110" s="3336"/>
      <c r="I110" s="3336"/>
      <c r="J110" s="3336"/>
      <c r="K110" s="2906"/>
      <c r="L110" s="2906"/>
      <c r="M110" s="2906"/>
      <c r="N110" s="2906"/>
    </row>
    <row r="112" spans="1:14" ht="13.5" thickBot="1"/>
    <row r="113" spans="1:13" ht="25.5" thickBot="1">
      <c r="A113" s="903" t="s">
        <v>2981</v>
      </c>
      <c r="B113" s="1290">
        <f>G3</f>
        <v>0.51</v>
      </c>
      <c r="C113" s="904" t="s">
        <v>2982</v>
      </c>
      <c r="D113" s="905">
        <f>SUMPRODUCT((A115:A118=F113)*(B114:M114=H113)*B115:M118)</f>
        <v>0</v>
      </c>
      <c r="E113" s="2729" t="s">
        <v>2812</v>
      </c>
      <c r="F113" s="2908">
        <f>E2</f>
        <v>0</v>
      </c>
      <c r="G113" s="2729" t="s">
        <v>2813</v>
      </c>
      <c r="H113" s="2908">
        <f>G2</f>
        <v>0</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3" t="s">
        <v>183</v>
      </c>
      <c r="B18" s="882" t="s">
        <v>560</v>
      </c>
      <c r="C18" s="883" t="s">
        <v>561</v>
      </c>
      <c r="D18" s="884"/>
      <c r="E18" s="882">
        <v>1</v>
      </c>
      <c r="F18" s="885" t="s">
        <v>562</v>
      </c>
      <c r="G18" s="886"/>
      <c r="H18" s="878"/>
      <c r="I18" s="878"/>
    </row>
    <row r="19" spans="1:9" s="887" customFormat="1" ht="19.5" customHeight="1">
      <c r="A19" s="3353"/>
      <c r="B19" s="3353" t="s">
        <v>563</v>
      </c>
      <c r="C19" s="883" t="s">
        <v>564</v>
      </c>
      <c r="D19" s="884"/>
      <c r="E19" s="882">
        <v>0.9</v>
      </c>
      <c r="F19" s="885" t="s">
        <v>565</v>
      </c>
      <c r="G19" s="886"/>
      <c r="H19" s="878"/>
      <c r="I19" s="878"/>
    </row>
    <row r="20" spans="1:9" s="887" customFormat="1" ht="19.5" customHeight="1">
      <c r="A20" s="3353"/>
      <c r="B20" s="3353"/>
      <c r="C20" s="883" t="s">
        <v>566</v>
      </c>
      <c r="D20" s="884"/>
      <c r="E20" s="882">
        <v>1.1000000000000001</v>
      </c>
      <c r="F20" s="885" t="s">
        <v>567</v>
      </c>
      <c r="G20" s="886"/>
      <c r="H20" s="878"/>
      <c r="I20" s="878"/>
    </row>
    <row r="21" spans="1:9" s="887" customFormat="1" ht="19.5" customHeight="1">
      <c r="A21" s="3353"/>
      <c r="B21" s="3353"/>
      <c r="C21" s="883" t="s">
        <v>568</v>
      </c>
      <c r="D21" s="884"/>
      <c r="E21" s="882">
        <v>0.8</v>
      </c>
      <c r="F21" s="885" t="s">
        <v>569</v>
      </c>
      <c r="G21" s="886"/>
      <c r="H21" s="878"/>
      <c r="I21" s="878"/>
    </row>
    <row r="22" spans="1:9" s="887" customFormat="1" ht="19.5" customHeight="1">
      <c r="A22" s="3353"/>
      <c r="B22" s="3353"/>
      <c r="C22" s="883" t="s">
        <v>570</v>
      </c>
      <c r="D22" s="884"/>
      <c r="E22" s="882">
        <v>0.5</v>
      </c>
      <c r="F22" s="885"/>
      <c r="G22" s="886"/>
      <c r="H22" s="878"/>
      <c r="I22" s="878"/>
    </row>
    <row r="23" spans="1:9" s="887" customFormat="1" ht="19.5" customHeight="1">
      <c r="A23" s="3353" t="s">
        <v>184</v>
      </c>
      <c r="B23" s="882" t="s">
        <v>560</v>
      </c>
      <c r="C23" s="883" t="s">
        <v>571</v>
      </c>
      <c r="D23" s="884"/>
      <c r="E23" s="882">
        <v>1</v>
      </c>
      <c r="F23" s="885" t="s">
        <v>572</v>
      </c>
      <c r="G23" s="886"/>
      <c r="H23" s="878"/>
      <c r="I23" s="878"/>
    </row>
    <row r="24" spans="1:9" s="887" customFormat="1" ht="19.5" customHeight="1">
      <c r="A24" s="3353"/>
      <c r="B24" s="3353" t="s">
        <v>563</v>
      </c>
      <c r="C24" s="883" t="s">
        <v>573</v>
      </c>
      <c r="D24" s="884"/>
      <c r="E24" s="882">
        <v>0.5</v>
      </c>
      <c r="F24" s="885"/>
      <c r="G24" s="886"/>
      <c r="H24" s="878"/>
      <c r="I24" s="878"/>
    </row>
    <row r="25" spans="1:9" s="887" customFormat="1" ht="19.5" customHeight="1">
      <c r="A25" s="3353"/>
      <c r="B25" s="3353"/>
      <c r="C25" s="883" t="s">
        <v>574</v>
      </c>
      <c r="D25" s="884"/>
      <c r="E25" s="882">
        <v>1.1000000000000001</v>
      </c>
      <c r="F25" s="885"/>
      <c r="G25" s="886"/>
      <c r="H25" s="878"/>
      <c r="I25" s="878"/>
    </row>
    <row r="26" spans="1:9" s="887" customFormat="1" ht="19.5" customHeight="1">
      <c r="A26" s="3353"/>
      <c r="B26" s="3353"/>
      <c r="C26" s="883" t="s">
        <v>575</v>
      </c>
      <c r="D26" s="884"/>
      <c r="E26" s="882">
        <v>1.1000000000000001</v>
      </c>
      <c r="F26" s="885"/>
      <c r="G26" s="886"/>
      <c r="H26" s="878"/>
      <c r="I26" s="878"/>
    </row>
    <row r="27" spans="1:9" s="887" customFormat="1" ht="19.5" customHeight="1">
      <c r="A27" s="3353"/>
      <c r="B27" s="3353"/>
      <c r="C27" s="883" t="s">
        <v>576</v>
      </c>
      <c r="D27" s="884"/>
      <c r="E27" s="882">
        <v>0.9</v>
      </c>
      <c r="F27" s="885" t="s">
        <v>577</v>
      </c>
      <c r="G27" s="886"/>
      <c r="H27" s="878"/>
      <c r="I27" s="878"/>
    </row>
    <row r="28" spans="1:9" s="887" customFormat="1" ht="19.5" customHeight="1">
      <c r="A28" s="3353"/>
      <c r="B28" s="3353"/>
      <c r="C28" s="883" t="s">
        <v>578</v>
      </c>
      <c r="D28" s="884"/>
      <c r="E28" s="882">
        <v>0.9</v>
      </c>
      <c r="F28" s="885" t="s">
        <v>579</v>
      </c>
      <c r="G28" s="886"/>
      <c r="H28" s="878"/>
      <c r="I28" s="878"/>
    </row>
    <row r="29" spans="1:9" s="887" customFormat="1" ht="19.5" customHeight="1">
      <c r="A29" s="3353"/>
      <c r="B29" s="3353"/>
      <c r="C29" s="883" t="s">
        <v>580</v>
      </c>
      <c r="D29" s="884"/>
      <c r="E29" s="882">
        <v>0.9</v>
      </c>
      <c r="F29" s="885" t="s">
        <v>581</v>
      </c>
      <c r="G29" s="886"/>
      <c r="H29" s="878"/>
      <c r="I29" s="878"/>
    </row>
    <row r="30" spans="1:9" s="887" customFormat="1" ht="19.5" customHeight="1">
      <c r="A30" s="3353"/>
      <c r="B30" s="3353"/>
      <c r="C30" s="883" t="s">
        <v>582</v>
      </c>
      <c r="D30" s="884"/>
      <c r="E30" s="882">
        <v>0.9</v>
      </c>
      <c r="F30" s="885" t="s">
        <v>583</v>
      </c>
      <c r="G30" s="886"/>
      <c r="H30" s="878"/>
      <c r="I30" s="878"/>
    </row>
    <row r="31" spans="1:9" s="887" customFormat="1" ht="19.5" customHeight="1">
      <c r="A31" s="3353"/>
      <c r="B31" s="3353"/>
      <c r="C31" s="883" t="s">
        <v>584</v>
      </c>
      <c r="D31" s="884"/>
      <c r="E31" s="882">
        <v>0.8</v>
      </c>
      <c r="F31" s="885" t="s">
        <v>585</v>
      </c>
      <c r="G31" s="886"/>
      <c r="H31" s="878"/>
      <c r="I31" s="878"/>
    </row>
    <row r="32" spans="1:9" s="887" customFormat="1" ht="19.5" customHeight="1">
      <c r="A32" s="3353"/>
      <c r="B32" s="3353"/>
      <c r="C32" s="883" t="s">
        <v>586</v>
      </c>
      <c r="D32" s="884"/>
      <c r="E32" s="882">
        <v>0.8</v>
      </c>
      <c r="F32" s="885" t="s">
        <v>587</v>
      </c>
      <c r="G32" s="886"/>
      <c r="H32" s="878"/>
      <c r="I32" s="878"/>
    </row>
    <row r="33" spans="1:9" s="887" customFormat="1" ht="19.5" customHeight="1">
      <c r="A33" s="3353" t="s">
        <v>185</v>
      </c>
      <c r="B33" s="882" t="s">
        <v>560</v>
      </c>
      <c r="C33" s="883" t="s">
        <v>588</v>
      </c>
      <c r="D33" s="884"/>
      <c r="E33" s="882">
        <v>1</v>
      </c>
      <c r="F33" s="885" t="s">
        <v>589</v>
      </c>
      <c r="G33" s="886"/>
      <c r="H33" s="878"/>
      <c r="I33" s="878"/>
    </row>
    <row r="34" spans="1:9" s="887" customFormat="1" ht="19.5" customHeight="1">
      <c r="A34" s="3353"/>
      <c r="B34" s="882" t="s">
        <v>563</v>
      </c>
      <c r="C34" s="883" t="s">
        <v>590</v>
      </c>
      <c r="D34" s="884"/>
      <c r="E34" s="882">
        <v>1.5</v>
      </c>
      <c r="F34" s="885" t="s">
        <v>591</v>
      </c>
      <c r="G34" s="886"/>
      <c r="H34" s="878"/>
      <c r="I34" s="878"/>
    </row>
    <row r="35" spans="1:9" s="887" customFormat="1" ht="19.5" customHeight="1">
      <c r="A35" s="3353" t="s">
        <v>186</v>
      </c>
      <c r="B35" s="882" t="s">
        <v>560</v>
      </c>
      <c r="C35" s="883" t="s">
        <v>592</v>
      </c>
      <c r="D35" s="884"/>
      <c r="E35" s="882">
        <v>1</v>
      </c>
      <c r="F35" s="885" t="s">
        <v>593</v>
      </c>
      <c r="G35" s="886"/>
      <c r="H35" s="878"/>
      <c r="I35" s="878"/>
    </row>
    <row r="36" spans="1:9" s="887" customFormat="1" ht="19.5" customHeight="1">
      <c r="A36" s="3353"/>
      <c r="B36" s="3353" t="s">
        <v>563</v>
      </c>
      <c r="C36" s="883" t="s">
        <v>594</v>
      </c>
      <c r="D36" s="884"/>
      <c r="E36" s="882">
        <v>1</v>
      </c>
      <c r="F36" s="885" t="s">
        <v>595</v>
      </c>
      <c r="G36" s="886"/>
      <c r="H36" s="878"/>
      <c r="I36" s="878"/>
    </row>
    <row r="37" spans="1:9" s="887" customFormat="1" ht="19.5" customHeight="1">
      <c r="A37" s="3353"/>
      <c r="B37" s="3353"/>
      <c r="C37" s="883" t="s">
        <v>596</v>
      </c>
      <c r="D37" s="884"/>
      <c r="E37" s="882">
        <v>1.5</v>
      </c>
      <c r="F37" s="885" t="s">
        <v>597</v>
      </c>
      <c r="G37" s="886"/>
      <c r="H37" s="878"/>
      <c r="I37" s="878"/>
    </row>
    <row r="38" spans="1:9" s="887" customFormat="1" ht="19.5" customHeight="1">
      <c r="A38" s="3353"/>
      <c r="B38" s="3353"/>
      <c r="C38" s="883" t="s">
        <v>598</v>
      </c>
      <c r="D38" s="884"/>
      <c r="E38" s="882">
        <v>1</v>
      </c>
      <c r="F38" s="885" t="s">
        <v>599</v>
      </c>
      <c r="G38" s="886"/>
      <c r="H38" s="878"/>
      <c r="I38" s="878"/>
    </row>
    <row r="39" spans="1:9" s="887" customFormat="1" ht="19.5" customHeight="1">
      <c r="A39" s="3353"/>
      <c r="B39" s="335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3" t="s">
        <v>614</v>
      </c>
      <c r="C61" s="818" t="s">
        <v>615</v>
      </c>
      <c r="D61" s="818" t="s">
        <v>616</v>
      </c>
      <c r="E61" s="895">
        <v>0.5</v>
      </c>
      <c r="F61" s="882">
        <v>80</v>
      </c>
    </row>
    <row r="62" spans="1:8" s="878" customFormat="1" ht="24">
      <c r="A62" s="882">
        <v>2</v>
      </c>
      <c r="B62" s="3353"/>
      <c r="C62" s="818" t="s">
        <v>617</v>
      </c>
      <c r="D62" s="818" t="s">
        <v>618</v>
      </c>
      <c r="E62" s="895">
        <v>0.5</v>
      </c>
      <c r="F62" s="882">
        <v>80</v>
      </c>
    </row>
    <row r="63" spans="1:8" s="878" customFormat="1" ht="36">
      <c r="A63" s="882">
        <v>3</v>
      </c>
      <c r="B63" s="3353"/>
      <c r="C63" s="818" t="s">
        <v>619</v>
      </c>
      <c r="D63" s="818" t="s">
        <v>620</v>
      </c>
      <c r="E63" s="895">
        <v>0.5</v>
      </c>
      <c r="F63" s="882">
        <v>80</v>
      </c>
    </row>
    <row r="64" spans="1:8" s="878" customFormat="1" ht="36">
      <c r="A64" s="882">
        <v>4</v>
      </c>
      <c r="B64" s="3353"/>
      <c r="C64" s="818" t="s">
        <v>621</v>
      </c>
      <c r="D64" s="818" t="s">
        <v>622</v>
      </c>
      <c r="E64" s="895">
        <v>0.4</v>
      </c>
      <c r="F64" s="882">
        <v>60</v>
      </c>
    </row>
    <row r="65" spans="1:6" s="878" customFormat="1" ht="36">
      <c r="A65" s="882">
        <v>5</v>
      </c>
      <c r="B65" s="3353"/>
      <c r="C65" s="818" t="s">
        <v>623</v>
      </c>
      <c r="D65" s="818" t="s">
        <v>624</v>
      </c>
      <c r="E65" s="895">
        <v>0.2</v>
      </c>
      <c r="F65" s="882">
        <v>30</v>
      </c>
    </row>
    <row r="66" spans="1:6" s="878" customFormat="1" ht="36">
      <c r="A66" s="882">
        <v>6</v>
      </c>
      <c r="B66" s="3353"/>
      <c r="C66" s="818" t="s">
        <v>625</v>
      </c>
      <c r="D66" s="818" t="s">
        <v>626</v>
      </c>
      <c r="E66" s="895">
        <v>0.3</v>
      </c>
      <c r="F66" s="882">
        <v>50</v>
      </c>
    </row>
    <row r="67" spans="1:6" s="878" customFormat="1" ht="36">
      <c r="A67" s="882">
        <v>7</v>
      </c>
      <c r="B67" s="3353"/>
      <c r="C67" s="818" t="s">
        <v>627</v>
      </c>
      <c r="D67" s="818" t="s">
        <v>628</v>
      </c>
      <c r="E67" s="895">
        <v>0.2</v>
      </c>
      <c r="F67" s="882">
        <v>30</v>
      </c>
    </row>
    <row r="68" spans="1:6" s="878" customFormat="1" ht="36">
      <c r="A68" s="882">
        <v>8</v>
      </c>
      <c r="B68" s="3353"/>
      <c r="C68" s="818" t="s">
        <v>629</v>
      </c>
      <c r="D68" s="818" t="s">
        <v>630</v>
      </c>
      <c r="E68" s="895">
        <v>0.2</v>
      </c>
      <c r="F68" s="882">
        <v>30</v>
      </c>
    </row>
    <row r="69" spans="1:6" s="878" customFormat="1" ht="36">
      <c r="A69" s="882">
        <v>9</v>
      </c>
      <c r="B69" s="3353"/>
      <c r="C69" s="818" t="s">
        <v>631</v>
      </c>
      <c r="D69" s="818" t="s">
        <v>632</v>
      </c>
      <c r="E69" s="895">
        <v>0.2</v>
      </c>
      <c r="F69" s="882">
        <v>30</v>
      </c>
    </row>
    <row r="70" spans="1:6" s="878" customFormat="1" ht="48">
      <c r="A70" s="882">
        <v>10</v>
      </c>
      <c r="B70" s="3353"/>
      <c r="C70" s="818" t="s">
        <v>633</v>
      </c>
      <c r="D70" s="818" t="s">
        <v>634</v>
      </c>
      <c r="E70" s="895">
        <v>0.2</v>
      </c>
      <c r="F70" s="882">
        <v>30</v>
      </c>
    </row>
    <row r="71" spans="1:6" s="878" customFormat="1" ht="48">
      <c r="A71" s="882">
        <v>11</v>
      </c>
      <c r="B71" s="3353"/>
      <c r="C71" s="818" t="s">
        <v>635</v>
      </c>
      <c r="D71" s="818" t="s">
        <v>636</v>
      </c>
      <c r="E71" s="895">
        <v>0.2</v>
      </c>
      <c r="F71" s="882">
        <v>30</v>
      </c>
    </row>
    <row r="72" spans="1:6" s="878" customFormat="1" ht="36">
      <c r="A72" s="882">
        <v>12</v>
      </c>
      <c r="B72" s="3353"/>
      <c r="C72" s="818" t="s">
        <v>637</v>
      </c>
      <c r="D72" s="818" t="s">
        <v>638</v>
      </c>
      <c r="E72" s="895">
        <v>0.5</v>
      </c>
      <c r="F72" s="882">
        <v>80</v>
      </c>
    </row>
    <row r="73" spans="1:6" s="878" customFormat="1" ht="24">
      <c r="A73" s="882">
        <v>13</v>
      </c>
      <c r="B73" s="3353"/>
      <c r="C73" s="818" t="s">
        <v>639</v>
      </c>
      <c r="D73" s="818" t="s">
        <v>640</v>
      </c>
      <c r="E73" s="895">
        <v>0.4</v>
      </c>
      <c r="F73" s="882">
        <v>60</v>
      </c>
    </row>
    <row r="74" spans="1:6" s="878" customFormat="1" ht="24">
      <c r="A74" s="882">
        <v>14</v>
      </c>
      <c r="B74" s="3353"/>
      <c r="C74" s="818" t="s">
        <v>641</v>
      </c>
      <c r="D74" s="818" t="s">
        <v>642</v>
      </c>
      <c r="E74" s="895">
        <v>0.2</v>
      </c>
      <c r="F74" s="882">
        <v>30</v>
      </c>
    </row>
    <row r="75" spans="1:6" s="878" customFormat="1" ht="24">
      <c r="A75" s="882">
        <v>15</v>
      </c>
      <c r="B75" s="3353"/>
      <c r="C75" s="818" t="s">
        <v>643</v>
      </c>
      <c r="D75" s="818" t="s">
        <v>644</v>
      </c>
      <c r="E75" s="895">
        <v>0.2</v>
      </c>
      <c r="F75" s="882">
        <v>30</v>
      </c>
    </row>
    <row r="76" spans="1:6" s="878" customFormat="1" ht="24">
      <c r="A76" s="882">
        <v>16</v>
      </c>
      <c r="B76" s="3353" t="s">
        <v>645</v>
      </c>
      <c r="C76" s="818" t="s">
        <v>646</v>
      </c>
      <c r="D76" s="818" t="s">
        <v>647</v>
      </c>
      <c r="E76" s="895">
        <v>0.5</v>
      </c>
      <c r="F76" s="882">
        <v>80</v>
      </c>
    </row>
    <row r="77" spans="1:6" s="878" customFormat="1" ht="24">
      <c r="A77" s="882">
        <v>17</v>
      </c>
      <c r="B77" s="3353"/>
      <c r="C77" s="818" t="s">
        <v>648</v>
      </c>
      <c r="D77" s="818" t="s">
        <v>649</v>
      </c>
      <c r="E77" s="895">
        <v>0.5</v>
      </c>
      <c r="F77" s="882">
        <v>80</v>
      </c>
    </row>
    <row r="78" spans="1:6" s="878" customFormat="1" ht="24">
      <c r="A78" s="882">
        <v>18</v>
      </c>
      <c r="B78" s="3353"/>
      <c r="C78" s="818" t="s">
        <v>650</v>
      </c>
      <c r="D78" s="818" t="s">
        <v>651</v>
      </c>
      <c r="E78" s="895">
        <v>0.2</v>
      </c>
      <c r="F78" s="882">
        <v>30</v>
      </c>
    </row>
    <row r="79" spans="1:6" s="878" customFormat="1" ht="24">
      <c r="A79" s="882">
        <v>19</v>
      </c>
      <c r="B79" s="3353"/>
      <c r="C79" s="818" t="s">
        <v>652</v>
      </c>
      <c r="D79" s="818" t="s">
        <v>653</v>
      </c>
      <c r="E79" s="895">
        <v>0.5</v>
      </c>
      <c r="F79" s="882">
        <v>80</v>
      </c>
    </row>
    <row r="80" spans="1:6" s="878" customFormat="1" ht="36">
      <c r="A80" s="882">
        <v>20</v>
      </c>
      <c r="B80" s="3353"/>
      <c r="C80" s="818" t="s">
        <v>654</v>
      </c>
      <c r="D80" s="818" t="s">
        <v>655</v>
      </c>
      <c r="E80" s="895">
        <v>0.2</v>
      </c>
      <c r="F80" s="882">
        <v>30</v>
      </c>
    </row>
    <row r="81" spans="1:6" s="878" customFormat="1" ht="36">
      <c r="A81" s="882">
        <v>21</v>
      </c>
      <c r="B81" s="3353"/>
      <c r="C81" s="818" t="s">
        <v>656</v>
      </c>
      <c r="D81" s="818" t="s">
        <v>657</v>
      </c>
      <c r="E81" s="895">
        <v>0.2</v>
      </c>
      <c r="F81" s="882">
        <v>30</v>
      </c>
    </row>
    <row r="82" spans="1:6" s="878" customFormat="1" ht="48">
      <c r="A82" s="882">
        <v>22</v>
      </c>
      <c r="B82" s="3353"/>
      <c r="C82" s="818" t="s">
        <v>658</v>
      </c>
      <c r="D82" s="818" t="s">
        <v>659</v>
      </c>
      <c r="E82" s="895">
        <v>0.2</v>
      </c>
      <c r="F82" s="882">
        <v>30</v>
      </c>
    </row>
    <row r="83" spans="1:6" s="878" customFormat="1" ht="48">
      <c r="A83" s="882">
        <v>23</v>
      </c>
      <c r="B83" s="3353"/>
      <c r="C83" s="818" t="s">
        <v>660</v>
      </c>
      <c r="D83" s="818" t="s">
        <v>661</v>
      </c>
      <c r="E83" s="895">
        <v>0.2</v>
      </c>
      <c r="F83" s="882">
        <v>30</v>
      </c>
    </row>
    <row r="84" spans="1:6" s="878" customFormat="1" ht="36">
      <c r="A84" s="882">
        <v>24</v>
      </c>
      <c r="B84" s="3353"/>
      <c r="C84" s="818" t="s">
        <v>662</v>
      </c>
      <c r="D84" s="818" t="s">
        <v>663</v>
      </c>
      <c r="E84" s="895">
        <v>0.2</v>
      </c>
      <c r="F84" s="882">
        <v>30</v>
      </c>
    </row>
    <row r="85" spans="1:6" s="878" customFormat="1" ht="36">
      <c r="A85" s="882">
        <v>25</v>
      </c>
      <c r="B85" s="3353"/>
      <c r="C85" s="818" t="s">
        <v>664</v>
      </c>
      <c r="D85" s="818" t="s">
        <v>665</v>
      </c>
      <c r="E85" s="895">
        <v>0.5</v>
      </c>
      <c r="F85" s="882">
        <v>80</v>
      </c>
    </row>
    <row r="86" spans="1:6" s="878" customFormat="1" ht="36">
      <c r="A86" s="882">
        <v>26</v>
      </c>
      <c r="B86" s="3353"/>
      <c r="C86" s="818" t="s">
        <v>666</v>
      </c>
      <c r="D86" s="818" t="s">
        <v>667</v>
      </c>
      <c r="E86" s="895">
        <v>0.2</v>
      </c>
      <c r="F86" s="882">
        <v>30</v>
      </c>
    </row>
    <row r="87" spans="1:6" s="878" customFormat="1" ht="36">
      <c r="A87" s="882">
        <v>27</v>
      </c>
      <c r="B87" s="3353"/>
      <c r="C87" s="818" t="s">
        <v>668</v>
      </c>
      <c r="D87" s="818" t="s">
        <v>669</v>
      </c>
      <c r="E87" s="895">
        <v>0.2</v>
      </c>
      <c r="F87" s="882">
        <v>30</v>
      </c>
    </row>
    <row r="88" spans="1:6" s="878" customFormat="1" ht="36">
      <c r="A88" s="882">
        <v>28</v>
      </c>
      <c r="B88" s="3353"/>
      <c r="C88" s="818" t="s">
        <v>670</v>
      </c>
      <c r="D88" s="818" t="s">
        <v>671</v>
      </c>
      <c r="E88" s="895">
        <v>0.2</v>
      </c>
      <c r="F88" s="882">
        <v>30</v>
      </c>
    </row>
    <row r="89" spans="1:6" s="878" customFormat="1" ht="24">
      <c r="A89" s="882">
        <v>29</v>
      </c>
      <c r="B89" s="3353"/>
      <c r="C89" s="818" t="s">
        <v>672</v>
      </c>
      <c r="D89" s="818" t="s">
        <v>673</v>
      </c>
      <c r="E89" s="895">
        <v>0.2</v>
      </c>
      <c r="F89" s="882">
        <v>30</v>
      </c>
    </row>
    <row r="90" spans="1:6" s="878" customFormat="1" ht="24">
      <c r="A90" s="882">
        <v>30</v>
      </c>
      <c r="B90" s="3353"/>
      <c r="C90" s="818" t="s">
        <v>674</v>
      </c>
      <c r="D90" s="818" t="s">
        <v>675</v>
      </c>
      <c r="E90" s="895">
        <v>0.2</v>
      </c>
      <c r="F90" s="882">
        <v>30</v>
      </c>
    </row>
    <row r="91" spans="1:6" s="878" customFormat="1" ht="36">
      <c r="A91" s="882">
        <v>31</v>
      </c>
      <c r="B91" s="3353"/>
      <c r="C91" s="818" t="s">
        <v>676</v>
      </c>
      <c r="D91" s="818" t="s">
        <v>677</v>
      </c>
      <c r="E91" s="895">
        <v>0.2</v>
      </c>
      <c r="F91" s="882">
        <v>30</v>
      </c>
    </row>
    <row r="92" spans="1:6" s="878" customFormat="1" ht="24">
      <c r="A92" s="882">
        <v>32</v>
      </c>
      <c r="B92" s="3353" t="s">
        <v>678</v>
      </c>
      <c r="C92" s="882" t="s">
        <v>679</v>
      </c>
      <c r="D92" s="818" t="s">
        <v>680</v>
      </c>
      <c r="E92" s="895">
        <v>0.2</v>
      </c>
      <c r="F92" s="882">
        <v>30</v>
      </c>
    </row>
    <row r="93" spans="1:6" s="878" customFormat="1" ht="36">
      <c r="A93" s="882">
        <v>33</v>
      </c>
      <c r="B93" s="3353"/>
      <c r="C93" s="882" t="s">
        <v>681</v>
      </c>
      <c r="D93" s="818" t="s">
        <v>682</v>
      </c>
      <c r="E93" s="895">
        <v>0.2</v>
      </c>
      <c r="F93" s="882">
        <v>30</v>
      </c>
    </row>
    <row r="94" spans="1:6" s="878" customFormat="1" ht="48">
      <c r="A94" s="882">
        <v>34</v>
      </c>
      <c r="B94" s="3353"/>
      <c r="C94" s="882" t="s">
        <v>683</v>
      </c>
      <c r="D94" s="818" t="s">
        <v>684</v>
      </c>
      <c r="E94" s="895">
        <v>0.2</v>
      </c>
      <c r="F94" s="882">
        <v>30</v>
      </c>
    </row>
    <row r="95" spans="1:6" s="878" customFormat="1" ht="36">
      <c r="A95" s="882">
        <v>35</v>
      </c>
      <c r="B95" s="3353"/>
      <c r="C95" s="882" t="s">
        <v>685</v>
      </c>
      <c r="D95" s="818" t="s">
        <v>686</v>
      </c>
      <c r="E95" s="895">
        <v>0.2</v>
      </c>
      <c r="F95" s="882">
        <v>30</v>
      </c>
    </row>
    <row r="96" spans="1:6" s="878" customFormat="1" ht="48">
      <c r="A96" s="882">
        <v>36</v>
      </c>
      <c r="B96" s="3353"/>
      <c r="C96" s="818" t="s">
        <v>687</v>
      </c>
      <c r="D96" s="818" t="s">
        <v>688</v>
      </c>
      <c r="E96" s="895">
        <v>0.2</v>
      </c>
      <c r="F96" s="882">
        <v>30</v>
      </c>
    </row>
    <row r="97" spans="1:6" s="878" customFormat="1" ht="36">
      <c r="A97" s="882">
        <v>37</v>
      </c>
      <c r="B97" s="3353"/>
      <c r="C97" s="882" t="s">
        <v>689</v>
      </c>
      <c r="D97" s="818" t="s">
        <v>690</v>
      </c>
      <c r="E97" s="895">
        <v>0.2</v>
      </c>
      <c r="F97" s="882">
        <v>30</v>
      </c>
    </row>
    <row r="98" spans="1:6" s="878" customFormat="1" ht="36">
      <c r="A98" s="882">
        <v>38</v>
      </c>
      <c r="B98" s="3353"/>
      <c r="C98" s="882" t="s">
        <v>691</v>
      </c>
      <c r="D98" s="818" t="s">
        <v>692</v>
      </c>
      <c r="E98" s="895">
        <v>0.2</v>
      </c>
      <c r="F98" s="882">
        <v>30</v>
      </c>
    </row>
    <row r="99" spans="1:6" s="878" customFormat="1" ht="36">
      <c r="A99" s="882">
        <v>39</v>
      </c>
      <c r="B99" s="3353" t="s">
        <v>693</v>
      </c>
      <c r="C99" s="882" t="s">
        <v>694</v>
      </c>
      <c r="D99" s="818" t="s">
        <v>695</v>
      </c>
      <c r="E99" s="895">
        <v>0.3</v>
      </c>
      <c r="F99" s="882">
        <v>50</v>
      </c>
    </row>
    <row r="100" spans="1:6" s="878" customFormat="1" ht="24">
      <c r="A100" s="882">
        <v>40</v>
      </c>
      <c r="B100" s="3353"/>
      <c r="C100" s="882" t="s">
        <v>696</v>
      </c>
      <c r="D100" s="818" t="s">
        <v>697</v>
      </c>
      <c r="E100" s="895">
        <v>0.2</v>
      </c>
      <c r="F100" s="882">
        <v>30</v>
      </c>
    </row>
    <row r="101" spans="1:6" s="878" customFormat="1" ht="36">
      <c r="A101" s="882">
        <v>41</v>
      </c>
      <c r="B101" s="335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3" t="s">
        <v>708</v>
      </c>
      <c r="C105" s="882" t="s">
        <v>709</v>
      </c>
      <c r="D105" s="818" t="s">
        <v>710</v>
      </c>
      <c r="E105" s="895">
        <v>0.2</v>
      </c>
      <c r="F105" s="882">
        <v>30</v>
      </c>
    </row>
    <row r="106" spans="1:6" s="878" customFormat="1" ht="36">
      <c r="A106" s="882">
        <v>46</v>
      </c>
      <c r="B106" s="3353"/>
      <c r="C106" s="882" t="s">
        <v>711</v>
      </c>
      <c r="D106" s="818" t="s">
        <v>712</v>
      </c>
      <c r="E106" s="895">
        <v>0.2</v>
      </c>
      <c r="F106" s="882">
        <v>30</v>
      </c>
    </row>
    <row r="107" spans="1:6" s="878" customFormat="1" ht="36">
      <c r="A107" s="882">
        <v>47</v>
      </c>
      <c r="B107" s="3353" t="s">
        <v>713</v>
      </c>
      <c r="C107" s="882" t="s">
        <v>714</v>
      </c>
      <c r="D107" s="818" t="s">
        <v>715</v>
      </c>
      <c r="E107" s="895">
        <v>0.3</v>
      </c>
      <c r="F107" s="882">
        <v>50</v>
      </c>
    </row>
    <row r="108" spans="1:6" s="878" customFormat="1" ht="36">
      <c r="A108" s="882">
        <v>48</v>
      </c>
      <c r="B108" s="335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3" t="s">
        <v>724</v>
      </c>
      <c r="C111" s="882" t="s">
        <v>725</v>
      </c>
      <c r="D111" s="818" t="s">
        <v>726</v>
      </c>
      <c r="E111" s="895">
        <v>0.2</v>
      </c>
      <c r="F111" s="882">
        <v>30</v>
      </c>
    </row>
    <row r="112" spans="1:6" s="878" customFormat="1" ht="24">
      <c r="A112" s="882">
        <v>52</v>
      </c>
      <c r="B112" s="3353"/>
      <c r="C112" s="882" t="s">
        <v>727</v>
      </c>
      <c r="D112" s="818" t="s">
        <v>728</v>
      </c>
      <c r="E112" s="895">
        <v>0.2</v>
      </c>
      <c r="F112" s="882">
        <v>30</v>
      </c>
    </row>
    <row r="113" spans="1:6" s="878" customFormat="1" ht="24">
      <c r="A113" s="882">
        <v>53</v>
      </c>
      <c r="B113" s="335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3" t="s">
        <v>737</v>
      </c>
      <c r="C116" s="882" t="s">
        <v>738</v>
      </c>
      <c r="D116" s="818" t="s">
        <v>739</v>
      </c>
      <c r="E116" s="895">
        <v>0.2</v>
      </c>
      <c r="F116" s="882">
        <v>30</v>
      </c>
    </row>
    <row r="117" spans="1:6" ht="36">
      <c r="A117" s="882">
        <v>57</v>
      </c>
      <c r="B117" s="335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v>
      </c>
      <c r="B3" s="3041"/>
      <c r="C3" s="3041"/>
      <c r="D3" s="3041"/>
      <c r="E3" s="3041"/>
    </row>
    <row r="4" spans="1:5" ht="19.5" thickBot="1">
      <c r="A4" s="1964"/>
      <c r="B4" s="3039" t="s">
        <v>1626</v>
      </c>
      <c r="C4" s="3039"/>
      <c r="D4" s="3039"/>
      <c r="E4" s="1964"/>
    </row>
    <row r="5" spans="1:5" ht="16.5" thickTop="1">
      <c r="A5" s="1962"/>
      <c r="B5" s="3037" t="s">
        <v>1618</v>
      </c>
      <c r="C5" s="1965" t="s">
        <v>1619</v>
      </c>
      <c r="D5" s="1043">
        <f ca="1">结果表!H101</f>
        <v>21417</v>
      </c>
      <c r="E5" s="1962"/>
    </row>
    <row r="6" spans="1:5" ht="15.75">
      <c r="A6" s="1962"/>
      <c r="B6" s="3037"/>
      <c r="C6" s="1965" t="s">
        <v>1620</v>
      </c>
      <c r="D6" s="1043" t="str">
        <f ca="1">NUMBERSTRING(INT(D5*10000),2)&amp;"元整"</f>
        <v>贰亿壹仟肆佰壹拾柒万元整</v>
      </c>
      <c r="E6" s="1962"/>
    </row>
    <row r="7" spans="1:5" ht="15.75">
      <c r="A7" s="1962"/>
      <c r="B7" s="3042"/>
      <c r="C7" s="1966" t="s">
        <v>1621</v>
      </c>
      <c r="D7" s="1044">
        <f ca="1">结果表!H102</f>
        <v>10474</v>
      </c>
      <c r="E7" s="1962"/>
    </row>
    <row r="8" spans="1:5" ht="15.75">
      <c r="A8" s="1962"/>
      <c r="B8" s="3043" t="str">
        <f>结果表!E103</f>
        <v>2.估价师知悉的法定优先受偿款</v>
      </c>
      <c r="C8" s="1967" t="s">
        <v>1622</v>
      </c>
      <c r="D8" s="1044">
        <f>结果表!H103</f>
        <v>0</v>
      </c>
      <c r="E8" s="1962"/>
    </row>
    <row r="9" spans="1:5" ht="15.75">
      <c r="A9" s="1962"/>
      <c r="B9" s="3045"/>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6" t="str">
        <f>结果表!E107</f>
        <v>3.房地产抵押价值</v>
      </c>
      <c r="C13" s="1970" t="s">
        <v>1619</v>
      </c>
      <c r="D13" s="1046">
        <f ca="1">结果表!H107</f>
        <v>21417</v>
      </c>
      <c r="E13" s="1962"/>
    </row>
    <row r="14" spans="1:5" ht="15.75">
      <c r="A14" s="1962"/>
      <c r="B14" s="3037"/>
      <c r="C14" s="1965" t="s">
        <v>1620</v>
      </c>
      <c r="D14" s="1043" t="str">
        <f ca="1">NUMBERSTRING(INT(D13*10000),2)&amp;"元整"</f>
        <v>贰亿壹仟肆佰壹拾柒万元整</v>
      </c>
      <c r="E14" s="1962"/>
    </row>
    <row r="15" spans="1:5" ht="15">
      <c r="A15" s="1962"/>
      <c r="B15" s="3042"/>
      <c r="C15" s="1966" t="s">
        <v>1630</v>
      </c>
      <c r="D15" s="1055">
        <f ca="1">结果表!H108</f>
        <v>10474</v>
      </c>
      <c r="E15" s="1962"/>
    </row>
    <row r="16" spans="1:5" ht="15">
      <c r="A16" s="1962"/>
      <c r="B16" s="3043" t="str">
        <f>结果表!E109</f>
        <v>——</v>
      </c>
      <c r="C16" s="1970" t="s">
        <v>1631</v>
      </c>
      <c r="D16" s="1971" t="str">
        <f>结果表!H109</f>
        <v>——</v>
      </c>
      <c r="E16" s="1962"/>
    </row>
    <row r="17" spans="1:5" ht="15.75">
      <c r="A17" s="1962"/>
      <c r="B17" s="3044"/>
      <c r="C17" s="1965" t="s">
        <v>1632</v>
      </c>
      <c r="D17" s="1043" t="e">
        <f>NUMBERSTRING(INT(D16*10000),2)&amp;"元整"</f>
        <v>#VALUE!</v>
      </c>
      <c r="E17" s="1962"/>
    </row>
    <row r="18" spans="1:5" ht="15">
      <c r="A18" s="1962"/>
      <c r="B18" s="3045"/>
      <c r="C18" s="1966" t="s">
        <v>1621</v>
      </c>
      <c r="D18" s="1055" t="str">
        <f>结果表!H110</f>
        <v>——</v>
      </c>
      <c r="E18" s="1962"/>
    </row>
    <row r="19" spans="1:5" ht="15.75">
      <c r="A19" s="1962"/>
      <c r="B19" s="3036" t="str">
        <f>结果表!E111</f>
        <v>——</v>
      </c>
      <c r="C19" s="1970" t="s">
        <v>1619</v>
      </c>
      <c r="D19" s="1044" t="str">
        <f>结果表!H111</f>
        <v>——</v>
      </c>
      <c r="E19" s="1962"/>
    </row>
    <row r="20" spans="1:5" ht="15.75">
      <c r="A20" s="1962"/>
      <c r="B20" s="3037"/>
      <c r="C20" s="1965" t="s">
        <v>1632</v>
      </c>
      <c r="D20" s="1043" t="e">
        <f>NUMBERSTRING(INT(D19*10000),2)&amp;"元整"</f>
        <v>#VALUE!</v>
      </c>
      <c r="E20" s="1962"/>
    </row>
    <row r="21" spans="1:5" ht="15.75" thickBot="1">
      <c r="A21" s="1962"/>
      <c r="B21" s="3038"/>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t="e">
        <f ca="1">SUMIF(B6:B13,"&lt;&gt;#ref!",B6:B13)</f>
        <v>#DIV/0!</v>
      </c>
      <c r="C2" s="2915" t="s">
        <v>2996</v>
      </c>
      <c r="D2" s="2915" t="s">
        <v>2997</v>
      </c>
      <c r="E2" s="2916">
        <f ca="1">SUMIF(E6:E13,"&lt;&gt;#ref!",E6:E13)</f>
        <v>0</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0">
        <f ca="1">SUMIF(INDIRECT("'"&amp;A6&amp;"'"&amp;"!C:C"),"建筑面积",INDIRECT("'"&amp;A6&amp;"'"&amp;"!D:D"))</f>
        <v>0</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59" t="s">
        <v>1146</v>
      </c>
      <c r="C1" s="3359"/>
      <c r="D1" s="3359"/>
      <c r="E1" s="3359"/>
      <c r="F1" s="3359"/>
      <c r="G1" s="3355" t="s">
        <v>1147</v>
      </c>
      <c r="H1" s="3355"/>
      <c r="I1" s="3355"/>
      <c r="J1" s="3355"/>
      <c r="K1" s="3355"/>
      <c r="L1" s="3355"/>
      <c r="N1" s="3355" t="s">
        <v>1148</v>
      </c>
      <c r="O1" s="3355"/>
      <c r="P1" s="3355"/>
      <c r="Q1" s="3355"/>
      <c r="R1" s="1449"/>
      <c r="S1" s="3355" t="s">
        <v>1149</v>
      </c>
      <c r="T1" s="3355"/>
      <c r="U1" s="3355"/>
      <c r="V1" s="3355"/>
      <c r="X1" s="3354" t="s">
        <v>1150</v>
      </c>
      <c r="Y1" s="3355"/>
      <c r="Z1" s="3355"/>
      <c r="AA1" s="3355"/>
      <c r="AB1" s="3355"/>
      <c r="AD1" s="3354" t="s">
        <v>1151</v>
      </c>
      <c r="AE1" s="3355"/>
      <c r="AF1" s="3355"/>
      <c r="AG1" s="3355"/>
      <c r="AH1" s="335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57">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57"/>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57"/>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64"/>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60">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57"/>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57"/>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64"/>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60">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57"/>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57"/>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58"/>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56">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57"/>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57"/>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58"/>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56">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57"/>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57"/>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58"/>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61">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62"/>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62"/>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63"/>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56">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57"/>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57"/>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58"/>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56">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57">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57">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58">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56">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57">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57">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58">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56">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57">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57">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58">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56">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57">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57">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58">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56">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57">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57">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58">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56">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57">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57">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58">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56">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57">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57">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58">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56">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57">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57">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58">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56">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57">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57">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58">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56">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57">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57">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58">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C1" workbookViewId="0">
      <selection activeCell="E14" sqref="E14"/>
    </sheetView>
  </sheetViews>
  <sheetFormatPr defaultRowHeight="13.5"/>
  <cols>
    <col min="1" max="1" width="24.5" style="2961" customWidth="1"/>
    <col min="2" max="2" width="6.25" style="2961" customWidth="1"/>
    <col min="3" max="3" width="11.75" style="2961" customWidth="1"/>
    <col min="4" max="5" width="13.875" style="2961" customWidth="1"/>
    <col min="6" max="6" width="19.125" style="2961" customWidth="1"/>
    <col min="7" max="7" width="7.375" style="2961" customWidth="1"/>
    <col min="8" max="8" width="7.875" style="2961" customWidth="1"/>
    <col min="9" max="9" width="12.125" style="2961" customWidth="1"/>
    <col min="10" max="11" width="10.625" style="2961" customWidth="1"/>
    <col min="12" max="12" width="11.375" style="2961" customWidth="1"/>
    <col min="13" max="13" width="8" style="2961" customWidth="1"/>
    <col min="14" max="14" width="6.25" style="2961" customWidth="1"/>
    <col min="15" max="15" width="29.375" style="2961" customWidth="1"/>
    <col min="16" max="258" width="9" style="2961"/>
    <col min="259" max="259" width="24.5" style="2961" customWidth="1"/>
    <col min="260" max="260" width="6.25" style="2961" customWidth="1"/>
    <col min="261" max="261" width="11.75" style="2961" customWidth="1"/>
    <col min="262" max="263" width="13.875" style="2961" customWidth="1"/>
    <col min="264" max="264" width="19.1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29.375" style="2961" customWidth="1"/>
    <col min="272" max="514" width="9" style="2961"/>
    <col min="515" max="515" width="24.5" style="2961" customWidth="1"/>
    <col min="516" max="516" width="6.25" style="2961" customWidth="1"/>
    <col min="517" max="517" width="11.75" style="2961" customWidth="1"/>
    <col min="518" max="519" width="13.875" style="2961" customWidth="1"/>
    <col min="520" max="520" width="19.1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29.375" style="2961" customWidth="1"/>
    <col min="528" max="770" width="9" style="2961"/>
    <col min="771" max="771" width="24.5" style="2961" customWidth="1"/>
    <col min="772" max="772" width="6.25" style="2961" customWidth="1"/>
    <col min="773" max="773" width="11.75" style="2961" customWidth="1"/>
    <col min="774" max="775" width="13.875" style="2961" customWidth="1"/>
    <col min="776" max="776" width="19.1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29.375" style="2961" customWidth="1"/>
    <col min="784" max="1026" width="9" style="2961"/>
    <col min="1027" max="1027" width="24.5" style="2961" customWidth="1"/>
    <col min="1028" max="1028" width="6.25" style="2961" customWidth="1"/>
    <col min="1029" max="1029" width="11.75" style="2961" customWidth="1"/>
    <col min="1030" max="1031" width="13.875" style="2961" customWidth="1"/>
    <col min="1032" max="1032" width="19.1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29.375" style="2961" customWidth="1"/>
    <col min="1040" max="1282" width="9" style="2961"/>
    <col min="1283" max="1283" width="24.5" style="2961" customWidth="1"/>
    <col min="1284" max="1284" width="6.25" style="2961" customWidth="1"/>
    <col min="1285" max="1285" width="11.75" style="2961" customWidth="1"/>
    <col min="1286" max="1287" width="13.875" style="2961" customWidth="1"/>
    <col min="1288" max="1288" width="19.1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29.375" style="2961" customWidth="1"/>
    <col min="1296" max="1538" width="9" style="2961"/>
    <col min="1539" max="1539" width="24.5" style="2961" customWidth="1"/>
    <col min="1540" max="1540" width="6.25" style="2961" customWidth="1"/>
    <col min="1541" max="1541" width="11.75" style="2961" customWidth="1"/>
    <col min="1542" max="1543" width="13.875" style="2961" customWidth="1"/>
    <col min="1544" max="1544" width="19.1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29.375" style="2961" customWidth="1"/>
    <col min="1552" max="1794" width="9" style="2961"/>
    <col min="1795" max="1795" width="24.5" style="2961" customWidth="1"/>
    <col min="1796" max="1796" width="6.25" style="2961" customWidth="1"/>
    <col min="1797" max="1797" width="11.75" style="2961" customWidth="1"/>
    <col min="1798" max="1799" width="13.875" style="2961" customWidth="1"/>
    <col min="1800" max="1800" width="19.1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29.375" style="2961" customWidth="1"/>
    <col min="1808" max="2050" width="9" style="2961"/>
    <col min="2051" max="2051" width="24.5" style="2961" customWidth="1"/>
    <col min="2052" max="2052" width="6.25" style="2961" customWidth="1"/>
    <col min="2053" max="2053" width="11.75" style="2961" customWidth="1"/>
    <col min="2054" max="2055" width="13.875" style="2961" customWidth="1"/>
    <col min="2056" max="2056" width="19.1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29.375" style="2961" customWidth="1"/>
    <col min="2064" max="2306" width="9" style="2961"/>
    <col min="2307" max="2307" width="24.5" style="2961" customWidth="1"/>
    <col min="2308" max="2308" width="6.25" style="2961" customWidth="1"/>
    <col min="2309" max="2309" width="11.75" style="2961" customWidth="1"/>
    <col min="2310" max="2311" width="13.875" style="2961" customWidth="1"/>
    <col min="2312" max="2312" width="19.1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29.375" style="2961" customWidth="1"/>
    <col min="2320" max="2562" width="9" style="2961"/>
    <col min="2563" max="2563" width="24.5" style="2961" customWidth="1"/>
    <col min="2564" max="2564" width="6.25" style="2961" customWidth="1"/>
    <col min="2565" max="2565" width="11.75" style="2961" customWidth="1"/>
    <col min="2566" max="2567" width="13.875" style="2961" customWidth="1"/>
    <col min="2568" max="2568" width="19.1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29.375" style="2961" customWidth="1"/>
    <col min="2576" max="2818" width="9" style="2961"/>
    <col min="2819" max="2819" width="24.5" style="2961" customWidth="1"/>
    <col min="2820" max="2820" width="6.25" style="2961" customWidth="1"/>
    <col min="2821" max="2821" width="11.75" style="2961" customWidth="1"/>
    <col min="2822" max="2823" width="13.875" style="2961" customWidth="1"/>
    <col min="2824" max="2824" width="19.1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29.375" style="2961" customWidth="1"/>
    <col min="2832" max="3074" width="9" style="2961"/>
    <col min="3075" max="3075" width="24.5" style="2961" customWidth="1"/>
    <col min="3076" max="3076" width="6.25" style="2961" customWidth="1"/>
    <col min="3077" max="3077" width="11.75" style="2961" customWidth="1"/>
    <col min="3078" max="3079" width="13.875" style="2961" customWidth="1"/>
    <col min="3080" max="3080" width="19.1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29.375" style="2961" customWidth="1"/>
    <col min="3088" max="3330" width="9" style="2961"/>
    <col min="3331" max="3331" width="24.5" style="2961" customWidth="1"/>
    <col min="3332" max="3332" width="6.25" style="2961" customWidth="1"/>
    <col min="3333" max="3333" width="11.75" style="2961" customWidth="1"/>
    <col min="3334" max="3335" width="13.875" style="2961" customWidth="1"/>
    <col min="3336" max="3336" width="19.1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29.375" style="2961" customWidth="1"/>
    <col min="3344" max="3586" width="9" style="2961"/>
    <col min="3587" max="3587" width="24.5" style="2961" customWidth="1"/>
    <col min="3588" max="3588" width="6.25" style="2961" customWidth="1"/>
    <col min="3589" max="3589" width="11.75" style="2961" customWidth="1"/>
    <col min="3590" max="3591" width="13.875" style="2961" customWidth="1"/>
    <col min="3592" max="3592" width="19.1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29.375" style="2961" customWidth="1"/>
    <col min="3600" max="3842" width="9" style="2961"/>
    <col min="3843" max="3843" width="24.5" style="2961" customWidth="1"/>
    <col min="3844" max="3844" width="6.25" style="2961" customWidth="1"/>
    <col min="3845" max="3845" width="11.75" style="2961" customWidth="1"/>
    <col min="3846" max="3847" width="13.875" style="2961" customWidth="1"/>
    <col min="3848" max="3848" width="19.1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29.375" style="2961" customWidth="1"/>
    <col min="3856" max="4098" width="9" style="2961"/>
    <col min="4099" max="4099" width="24.5" style="2961" customWidth="1"/>
    <col min="4100" max="4100" width="6.25" style="2961" customWidth="1"/>
    <col min="4101" max="4101" width="11.75" style="2961" customWidth="1"/>
    <col min="4102" max="4103" width="13.875" style="2961" customWidth="1"/>
    <col min="4104" max="4104" width="19.1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29.375" style="2961" customWidth="1"/>
    <col min="4112" max="4354" width="9" style="2961"/>
    <col min="4355" max="4355" width="24.5" style="2961" customWidth="1"/>
    <col min="4356" max="4356" width="6.25" style="2961" customWidth="1"/>
    <col min="4357" max="4357" width="11.75" style="2961" customWidth="1"/>
    <col min="4358" max="4359" width="13.875" style="2961" customWidth="1"/>
    <col min="4360" max="4360" width="19.1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29.375" style="2961" customWidth="1"/>
    <col min="4368" max="4610" width="9" style="2961"/>
    <col min="4611" max="4611" width="24.5" style="2961" customWidth="1"/>
    <col min="4612" max="4612" width="6.25" style="2961" customWidth="1"/>
    <col min="4613" max="4613" width="11.75" style="2961" customWidth="1"/>
    <col min="4614" max="4615" width="13.875" style="2961" customWidth="1"/>
    <col min="4616" max="4616" width="19.1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29.375" style="2961" customWidth="1"/>
    <col min="4624" max="4866" width="9" style="2961"/>
    <col min="4867" max="4867" width="24.5" style="2961" customWidth="1"/>
    <col min="4868" max="4868" width="6.25" style="2961" customWidth="1"/>
    <col min="4869" max="4869" width="11.75" style="2961" customWidth="1"/>
    <col min="4870" max="4871" width="13.875" style="2961" customWidth="1"/>
    <col min="4872" max="4872" width="19.1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29.375" style="2961" customWidth="1"/>
    <col min="4880" max="5122" width="9" style="2961"/>
    <col min="5123" max="5123" width="24.5" style="2961" customWidth="1"/>
    <col min="5124" max="5124" width="6.25" style="2961" customWidth="1"/>
    <col min="5125" max="5125" width="11.75" style="2961" customWidth="1"/>
    <col min="5126" max="5127" width="13.875" style="2961" customWidth="1"/>
    <col min="5128" max="5128" width="19.1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29.375" style="2961" customWidth="1"/>
    <col min="5136" max="5378" width="9" style="2961"/>
    <col min="5379" max="5379" width="24.5" style="2961" customWidth="1"/>
    <col min="5380" max="5380" width="6.25" style="2961" customWidth="1"/>
    <col min="5381" max="5381" width="11.75" style="2961" customWidth="1"/>
    <col min="5382" max="5383" width="13.875" style="2961" customWidth="1"/>
    <col min="5384" max="5384" width="19.1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29.375" style="2961" customWidth="1"/>
    <col min="5392" max="5634" width="9" style="2961"/>
    <col min="5635" max="5635" width="24.5" style="2961" customWidth="1"/>
    <col min="5636" max="5636" width="6.25" style="2961" customWidth="1"/>
    <col min="5637" max="5637" width="11.75" style="2961" customWidth="1"/>
    <col min="5638" max="5639" width="13.875" style="2961" customWidth="1"/>
    <col min="5640" max="5640" width="19.1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29.375" style="2961" customWidth="1"/>
    <col min="5648" max="5890" width="9" style="2961"/>
    <col min="5891" max="5891" width="24.5" style="2961" customWidth="1"/>
    <col min="5892" max="5892" width="6.25" style="2961" customWidth="1"/>
    <col min="5893" max="5893" width="11.75" style="2961" customWidth="1"/>
    <col min="5894" max="5895" width="13.875" style="2961" customWidth="1"/>
    <col min="5896" max="5896" width="19.1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29.375" style="2961" customWidth="1"/>
    <col min="5904" max="6146" width="9" style="2961"/>
    <col min="6147" max="6147" width="24.5" style="2961" customWidth="1"/>
    <col min="6148" max="6148" width="6.25" style="2961" customWidth="1"/>
    <col min="6149" max="6149" width="11.75" style="2961" customWidth="1"/>
    <col min="6150" max="6151" width="13.875" style="2961" customWidth="1"/>
    <col min="6152" max="6152" width="19.1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29.375" style="2961" customWidth="1"/>
    <col min="6160" max="6402" width="9" style="2961"/>
    <col min="6403" max="6403" width="24.5" style="2961" customWidth="1"/>
    <col min="6404" max="6404" width="6.25" style="2961" customWidth="1"/>
    <col min="6405" max="6405" width="11.75" style="2961" customWidth="1"/>
    <col min="6406" max="6407" width="13.875" style="2961" customWidth="1"/>
    <col min="6408" max="6408" width="19.1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29.375" style="2961" customWidth="1"/>
    <col min="6416" max="6658" width="9" style="2961"/>
    <col min="6659" max="6659" width="24.5" style="2961" customWidth="1"/>
    <col min="6660" max="6660" width="6.25" style="2961" customWidth="1"/>
    <col min="6661" max="6661" width="11.75" style="2961" customWidth="1"/>
    <col min="6662" max="6663" width="13.875" style="2961" customWidth="1"/>
    <col min="6664" max="6664" width="19.1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29.375" style="2961" customWidth="1"/>
    <col min="6672" max="6914" width="9" style="2961"/>
    <col min="6915" max="6915" width="24.5" style="2961" customWidth="1"/>
    <col min="6916" max="6916" width="6.25" style="2961" customWidth="1"/>
    <col min="6917" max="6917" width="11.75" style="2961" customWidth="1"/>
    <col min="6918" max="6919" width="13.875" style="2961" customWidth="1"/>
    <col min="6920" max="6920" width="19.1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29.375" style="2961" customWidth="1"/>
    <col min="6928" max="7170" width="9" style="2961"/>
    <col min="7171" max="7171" width="24.5" style="2961" customWidth="1"/>
    <col min="7172" max="7172" width="6.25" style="2961" customWidth="1"/>
    <col min="7173" max="7173" width="11.75" style="2961" customWidth="1"/>
    <col min="7174" max="7175" width="13.875" style="2961" customWidth="1"/>
    <col min="7176" max="7176" width="19.1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29.375" style="2961" customWidth="1"/>
    <col min="7184" max="7426" width="9" style="2961"/>
    <col min="7427" max="7427" width="24.5" style="2961" customWidth="1"/>
    <col min="7428" max="7428" width="6.25" style="2961" customWidth="1"/>
    <col min="7429" max="7429" width="11.75" style="2961" customWidth="1"/>
    <col min="7430" max="7431" width="13.875" style="2961" customWidth="1"/>
    <col min="7432" max="7432" width="19.1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29.375" style="2961" customWidth="1"/>
    <col min="7440" max="7682" width="9" style="2961"/>
    <col min="7683" max="7683" width="24.5" style="2961" customWidth="1"/>
    <col min="7684" max="7684" width="6.25" style="2961" customWidth="1"/>
    <col min="7685" max="7685" width="11.75" style="2961" customWidth="1"/>
    <col min="7686" max="7687" width="13.875" style="2961" customWidth="1"/>
    <col min="7688" max="7688" width="19.1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29.375" style="2961" customWidth="1"/>
    <col min="7696" max="7938" width="9" style="2961"/>
    <col min="7939" max="7939" width="24.5" style="2961" customWidth="1"/>
    <col min="7940" max="7940" width="6.25" style="2961" customWidth="1"/>
    <col min="7941" max="7941" width="11.75" style="2961" customWidth="1"/>
    <col min="7942" max="7943" width="13.875" style="2961" customWidth="1"/>
    <col min="7944" max="7944" width="19.1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29.375" style="2961" customWidth="1"/>
    <col min="7952" max="8194" width="9" style="2961"/>
    <col min="8195" max="8195" width="24.5" style="2961" customWidth="1"/>
    <col min="8196" max="8196" width="6.25" style="2961" customWidth="1"/>
    <col min="8197" max="8197" width="11.75" style="2961" customWidth="1"/>
    <col min="8198" max="8199" width="13.875" style="2961" customWidth="1"/>
    <col min="8200" max="8200" width="19.1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29.375" style="2961" customWidth="1"/>
    <col min="8208" max="8450" width="9" style="2961"/>
    <col min="8451" max="8451" width="24.5" style="2961" customWidth="1"/>
    <col min="8452" max="8452" width="6.25" style="2961" customWidth="1"/>
    <col min="8453" max="8453" width="11.75" style="2961" customWidth="1"/>
    <col min="8454" max="8455" width="13.875" style="2961" customWidth="1"/>
    <col min="8456" max="8456" width="19.1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29.375" style="2961" customWidth="1"/>
    <col min="8464" max="8706" width="9" style="2961"/>
    <col min="8707" max="8707" width="24.5" style="2961" customWidth="1"/>
    <col min="8708" max="8708" width="6.25" style="2961" customWidth="1"/>
    <col min="8709" max="8709" width="11.75" style="2961" customWidth="1"/>
    <col min="8710" max="8711" width="13.875" style="2961" customWidth="1"/>
    <col min="8712" max="8712" width="19.1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29.375" style="2961" customWidth="1"/>
    <col min="8720" max="8962" width="9" style="2961"/>
    <col min="8963" max="8963" width="24.5" style="2961" customWidth="1"/>
    <col min="8964" max="8964" width="6.25" style="2961" customWidth="1"/>
    <col min="8965" max="8965" width="11.75" style="2961" customWidth="1"/>
    <col min="8966" max="8967" width="13.875" style="2961" customWidth="1"/>
    <col min="8968" max="8968" width="19.1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29.375" style="2961" customWidth="1"/>
    <col min="8976" max="9218" width="9" style="2961"/>
    <col min="9219" max="9219" width="24.5" style="2961" customWidth="1"/>
    <col min="9220" max="9220" width="6.25" style="2961" customWidth="1"/>
    <col min="9221" max="9221" width="11.75" style="2961" customWidth="1"/>
    <col min="9222" max="9223" width="13.875" style="2961" customWidth="1"/>
    <col min="9224" max="9224" width="19.1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29.375" style="2961" customWidth="1"/>
    <col min="9232" max="9474" width="9" style="2961"/>
    <col min="9475" max="9475" width="24.5" style="2961" customWidth="1"/>
    <col min="9476" max="9476" width="6.25" style="2961" customWidth="1"/>
    <col min="9477" max="9477" width="11.75" style="2961" customWidth="1"/>
    <col min="9478" max="9479" width="13.875" style="2961" customWidth="1"/>
    <col min="9480" max="9480" width="19.1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29.375" style="2961" customWidth="1"/>
    <col min="9488" max="9730" width="9" style="2961"/>
    <col min="9731" max="9731" width="24.5" style="2961" customWidth="1"/>
    <col min="9732" max="9732" width="6.25" style="2961" customWidth="1"/>
    <col min="9733" max="9733" width="11.75" style="2961" customWidth="1"/>
    <col min="9734" max="9735" width="13.875" style="2961" customWidth="1"/>
    <col min="9736" max="9736" width="19.1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29.375" style="2961" customWidth="1"/>
    <col min="9744" max="9986" width="9" style="2961"/>
    <col min="9987" max="9987" width="24.5" style="2961" customWidth="1"/>
    <col min="9988" max="9988" width="6.25" style="2961" customWidth="1"/>
    <col min="9989" max="9989" width="11.75" style="2961" customWidth="1"/>
    <col min="9990" max="9991" width="13.875" style="2961" customWidth="1"/>
    <col min="9992" max="9992" width="19.1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29.375" style="2961" customWidth="1"/>
    <col min="10000" max="10242" width="9" style="2961"/>
    <col min="10243" max="10243" width="24.5" style="2961" customWidth="1"/>
    <col min="10244" max="10244" width="6.25" style="2961" customWidth="1"/>
    <col min="10245" max="10245" width="11.75" style="2961" customWidth="1"/>
    <col min="10246" max="10247" width="13.875" style="2961" customWidth="1"/>
    <col min="10248" max="10248" width="19.1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29.375" style="2961" customWidth="1"/>
    <col min="10256" max="10498" width="9" style="2961"/>
    <col min="10499" max="10499" width="24.5" style="2961" customWidth="1"/>
    <col min="10500" max="10500" width="6.25" style="2961" customWidth="1"/>
    <col min="10501" max="10501" width="11.75" style="2961" customWidth="1"/>
    <col min="10502" max="10503" width="13.875" style="2961" customWidth="1"/>
    <col min="10504" max="10504" width="19.1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29.375" style="2961" customWidth="1"/>
    <col min="10512" max="10754" width="9" style="2961"/>
    <col min="10755" max="10755" width="24.5" style="2961" customWidth="1"/>
    <col min="10756" max="10756" width="6.25" style="2961" customWidth="1"/>
    <col min="10757" max="10757" width="11.75" style="2961" customWidth="1"/>
    <col min="10758" max="10759" width="13.875" style="2961" customWidth="1"/>
    <col min="10760" max="10760" width="19.1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29.375" style="2961" customWidth="1"/>
    <col min="10768" max="11010" width="9" style="2961"/>
    <col min="11011" max="11011" width="24.5" style="2961" customWidth="1"/>
    <col min="11012" max="11012" width="6.25" style="2961" customWidth="1"/>
    <col min="11013" max="11013" width="11.75" style="2961" customWidth="1"/>
    <col min="11014" max="11015" width="13.875" style="2961" customWidth="1"/>
    <col min="11016" max="11016" width="19.1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29.375" style="2961" customWidth="1"/>
    <col min="11024" max="11266" width="9" style="2961"/>
    <col min="11267" max="11267" width="24.5" style="2961" customWidth="1"/>
    <col min="11268" max="11268" width="6.25" style="2961" customWidth="1"/>
    <col min="11269" max="11269" width="11.75" style="2961" customWidth="1"/>
    <col min="11270" max="11271" width="13.875" style="2961" customWidth="1"/>
    <col min="11272" max="11272" width="19.1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29.375" style="2961" customWidth="1"/>
    <col min="11280" max="11522" width="9" style="2961"/>
    <col min="11523" max="11523" width="24.5" style="2961" customWidth="1"/>
    <col min="11524" max="11524" width="6.25" style="2961" customWidth="1"/>
    <col min="11525" max="11525" width="11.75" style="2961" customWidth="1"/>
    <col min="11526" max="11527" width="13.875" style="2961" customWidth="1"/>
    <col min="11528" max="11528" width="19.1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29.375" style="2961" customWidth="1"/>
    <col min="11536" max="11778" width="9" style="2961"/>
    <col min="11779" max="11779" width="24.5" style="2961" customWidth="1"/>
    <col min="11780" max="11780" width="6.25" style="2961" customWidth="1"/>
    <col min="11781" max="11781" width="11.75" style="2961" customWidth="1"/>
    <col min="11782" max="11783" width="13.875" style="2961" customWidth="1"/>
    <col min="11784" max="11784" width="19.1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29.375" style="2961" customWidth="1"/>
    <col min="11792" max="12034" width="9" style="2961"/>
    <col min="12035" max="12035" width="24.5" style="2961" customWidth="1"/>
    <col min="12036" max="12036" width="6.25" style="2961" customWidth="1"/>
    <col min="12037" max="12037" width="11.75" style="2961" customWidth="1"/>
    <col min="12038" max="12039" width="13.875" style="2961" customWidth="1"/>
    <col min="12040" max="12040" width="19.1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29.375" style="2961" customWidth="1"/>
    <col min="12048" max="12290" width="9" style="2961"/>
    <col min="12291" max="12291" width="24.5" style="2961" customWidth="1"/>
    <col min="12292" max="12292" width="6.25" style="2961" customWidth="1"/>
    <col min="12293" max="12293" width="11.75" style="2961" customWidth="1"/>
    <col min="12294" max="12295" width="13.875" style="2961" customWidth="1"/>
    <col min="12296" max="12296" width="19.1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29.375" style="2961" customWidth="1"/>
    <col min="12304" max="12546" width="9" style="2961"/>
    <col min="12547" max="12547" width="24.5" style="2961" customWidth="1"/>
    <col min="12548" max="12548" width="6.25" style="2961" customWidth="1"/>
    <col min="12549" max="12549" width="11.75" style="2961" customWidth="1"/>
    <col min="12550" max="12551" width="13.875" style="2961" customWidth="1"/>
    <col min="12552" max="12552" width="19.1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29.375" style="2961" customWidth="1"/>
    <col min="12560" max="12802" width="9" style="2961"/>
    <col min="12803" max="12803" width="24.5" style="2961" customWidth="1"/>
    <col min="12804" max="12804" width="6.25" style="2961" customWidth="1"/>
    <col min="12805" max="12805" width="11.75" style="2961" customWidth="1"/>
    <col min="12806" max="12807" width="13.875" style="2961" customWidth="1"/>
    <col min="12808" max="12808" width="19.1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29.375" style="2961" customWidth="1"/>
    <col min="12816" max="13058" width="9" style="2961"/>
    <col min="13059" max="13059" width="24.5" style="2961" customWidth="1"/>
    <col min="13060" max="13060" width="6.25" style="2961" customWidth="1"/>
    <col min="13061" max="13061" width="11.75" style="2961" customWidth="1"/>
    <col min="13062" max="13063" width="13.875" style="2961" customWidth="1"/>
    <col min="13064" max="13064" width="19.1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29.375" style="2961" customWidth="1"/>
    <col min="13072" max="13314" width="9" style="2961"/>
    <col min="13315" max="13315" width="24.5" style="2961" customWidth="1"/>
    <col min="13316" max="13316" width="6.25" style="2961" customWidth="1"/>
    <col min="13317" max="13317" width="11.75" style="2961" customWidth="1"/>
    <col min="13318" max="13319" width="13.875" style="2961" customWidth="1"/>
    <col min="13320" max="13320" width="19.1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29.375" style="2961" customWidth="1"/>
    <col min="13328" max="13570" width="9" style="2961"/>
    <col min="13571" max="13571" width="24.5" style="2961" customWidth="1"/>
    <col min="13572" max="13572" width="6.25" style="2961" customWidth="1"/>
    <col min="13573" max="13573" width="11.75" style="2961" customWidth="1"/>
    <col min="13574" max="13575" width="13.875" style="2961" customWidth="1"/>
    <col min="13576" max="13576" width="19.1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29.375" style="2961" customWidth="1"/>
    <col min="13584" max="13826" width="9" style="2961"/>
    <col min="13827" max="13827" width="24.5" style="2961" customWidth="1"/>
    <col min="13828" max="13828" width="6.25" style="2961" customWidth="1"/>
    <col min="13829" max="13829" width="11.75" style="2961" customWidth="1"/>
    <col min="13830" max="13831" width="13.875" style="2961" customWidth="1"/>
    <col min="13832" max="13832" width="19.1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29.375" style="2961" customWidth="1"/>
    <col min="13840" max="14082" width="9" style="2961"/>
    <col min="14083" max="14083" width="24.5" style="2961" customWidth="1"/>
    <col min="14084" max="14084" width="6.25" style="2961" customWidth="1"/>
    <col min="14085" max="14085" width="11.75" style="2961" customWidth="1"/>
    <col min="14086" max="14087" width="13.875" style="2961" customWidth="1"/>
    <col min="14088" max="14088" width="19.1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29.375" style="2961" customWidth="1"/>
    <col min="14096" max="14338" width="9" style="2961"/>
    <col min="14339" max="14339" width="24.5" style="2961" customWidth="1"/>
    <col min="14340" max="14340" width="6.25" style="2961" customWidth="1"/>
    <col min="14341" max="14341" width="11.75" style="2961" customWidth="1"/>
    <col min="14342" max="14343" width="13.875" style="2961" customWidth="1"/>
    <col min="14344" max="14344" width="19.1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29.375" style="2961" customWidth="1"/>
    <col min="14352" max="14594" width="9" style="2961"/>
    <col min="14595" max="14595" width="24.5" style="2961" customWidth="1"/>
    <col min="14596" max="14596" width="6.25" style="2961" customWidth="1"/>
    <col min="14597" max="14597" width="11.75" style="2961" customWidth="1"/>
    <col min="14598" max="14599" width="13.875" style="2961" customWidth="1"/>
    <col min="14600" max="14600" width="19.1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29.375" style="2961" customWidth="1"/>
    <col min="14608" max="14850" width="9" style="2961"/>
    <col min="14851" max="14851" width="24.5" style="2961" customWidth="1"/>
    <col min="14852" max="14852" width="6.25" style="2961" customWidth="1"/>
    <col min="14853" max="14853" width="11.75" style="2961" customWidth="1"/>
    <col min="14854" max="14855" width="13.875" style="2961" customWidth="1"/>
    <col min="14856" max="14856" width="19.1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29.375" style="2961" customWidth="1"/>
    <col min="14864" max="15106" width="9" style="2961"/>
    <col min="15107" max="15107" width="24.5" style="2961" customWidth="1"/>
    <col min="15108" max="15108" width="6.25" style="2961" customWidth="1"/>
    <col min="15109" max="15109" width="11.75" style="2961" customWidth="1"/>
    <col min="15110" max="15111" width="13.875" style="2961" customWidth="1"/>
    <col min="15112" max="15112" width="19.1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29.375" style="2961" customWidth="1"/>
    <col min="15120" max="15362" width="9" style="2961"/>
    <col min="15363" max="15363" width="24.5" style="2961" customWidth="1"/>
    <col min="15364" max="15364" width="6.25" style="2961" customWidth="1"/>
    <col min="15365" max="15365" width="11.75" style="2961" customWidth="1"/>
    <col min="15366" max="15367" width="13.875" style="2961" customWidth="1"/>
    <col min="15368" max="15368" width="19.1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29.375" style="2961" customWidth="1"/>
    <col min="15376" max="15618" width="9" style="2961"/>
    <col min="15619" max="15619" width="24.5" style="2961" customWidth="1"/>
    <col min="15620" max="15620" width="6.25" style="2961" customWidth="1"/>
    <col min="15621" max="15621" width="11.75" style="2961" customWidth="1"/>
    <col min="15622" max="15623" width="13.875" style="2961" customWidth="1"/>
    <col min="15624" max="15624" width="19.1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29.375" style="2961" customWidth="1"/>
    <col min="15632" max="15874" width="9" style="2961"/>
    <col min="15875" max="15875" width="24.5" style="2961" customWidth="1"/>
    <col min="15876" max="15876" width="6.25" style="2961" customWidth="1"/>
    <col min="15877" max="15877" width="11.75" style="2961" customWidth="1"/>
    <col min="15878" max="15879" width="13.875" style="2961" customWidth="1"/>
    <col min="15880" max="15880" width="19.1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29.375" style="2961" customWidth="1"/>
    <col min="15888" max="16130" width="9" style="2961"/>
    <col min="16131" max="16131" width="24.5" style="2961" customWidth="1"/>
    <col min="16132" max="16132" width="6.25" style="2961" customWidth="1"/>
    <col min="16133" max="16133" width="11.75" style="2961" customWidth="1"/>
    <col min="16134" max="16135" width="13.875" style="2961" customWidth="1"/>
    <col min="16136" max="16136" width="19.1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29.375" style="2961" customWidth="1"/>
    <col min="16144" max="16384" width="9" style="2961"/>
  </cols>
  <sheetData>
    <row r="1" spans="1:15" ht="27">
      <c r="A1" s="2961" t="s">
        <v>3300</v>
      </c>
      <c r="B1" s="2961" t="s">
        <v>3301</v>
      </c>
      <c r="C1" s="2961" t="s">
        <v>3302</v>
      </c>
      <c r="D1" s="2961" t="s">
        <v>3303</v>
      </c>
      <c r="E1" s="2961" t="s">
        <v>3304</v>
      </c>
      <c r="F1" s="2961" t="s">
        <v>3305</v>
      </c>
      <c r="H1" s="2961" t="s">
        <v>3306</v>
      </c>
      <c r="I1" s="2961" t="s">
        <v>3307</v>
      </c>
      <c r="J1" s="2961" t="s">
        <v>3308</v>
      </c>
      <c r="K1" s="2961" t="s">
        <v>3309</v>
      </c>
      <c r="L1" s="2961" t="s">
        <v>3310</v>
      </c>
      <c r="M1" s="2962" t="s">
        <v>3311</v>
      </c>
      <c r="N1" s="2961" t="s">
        <v>3312</v>
      </c>
      <c r="O1" s="2961" t="s">
        <v>3313</v>
      </c>
    </row>
    <row r="2" spans="1:15" s="2966" customFormat="1" ht="27">
      <c r="A2" s="2966" t="s">
        <v>3314</v>
      </c>
      <c r="B2" s="2966" t="s">
        <v>3315</v>
      </c>
      <c r="C2" s="2966" t="s">
        <v>3316</v>
      </c>
      <c r="D2" s="2966">
        <v>15112</v>
      </c>
      <c r="E2" s="2966">
        <v>45336</v>
      </c>
      <c r="F2" s="2966" t="s">
        <v>3317</v>
      </c>
      <c r="G2" s="2966">
        <f>E2/D2</f>
        <v>3</v>
      </c>
      <c r="H2" s="2966" t="s">
        <v>3318</v>
      </c>
      <c r="I2" s="2966" t="s">
        <v>3319</v>
      </c>
      <c r="J2" s="2966">
        <v>3246.05</v>
      </c>
      <c r="K2" s="2966">
        <v>3246.05</v>
      </c>
      <c r="L2" s="2966">
        <v>716</v>
      </c>
      <c r="M2" s="2966">
        <f>ROUND(K2/D2*10000,0)</f>
        <v>2148</v>
      </c>
      <c r="N2" s="2966">
        <v>0</v>
      </c>
      <c r="O2" s="2966" t="s">
        <v>3320</v>
      </c>
    </row>
    <row r="3" spans="1:15" s="2963" customFormat="1" ht="27">
      <c r="A3" s="2963" t="s">
        <v>3351</v>
      </c>
      <c r="B3" s="2963" t="s">
        <v>3315</v>
      </c>
      <c r="C3" s="2963" t="s">
        <v>3316</v>
      </c>
      <c r="D3" s="2963">
        <v>86557</v>
      </c>
      <c r="E3" s="2963">
        <v>138491.20000000001</v>
      </c>
      <c r="F3" s="2963" t="s">
        <v>3321</v>
      </c>
      <c r="G3" s="2963">
        <f t="shared" ref="G3:G9" si="0">E3/D3</f>
        <v>1.6</v>
      </c>
      <c r="H3" s="2963" t="s">
        <v>3318</v>
      </c>
      <c r="I3" s="2963" t="s">
        <v>3322</v>
      </c>
      <c r="J3" s="2963">
        <v>8794.19</v>
      </c>
      <c r="K3" s="2963">
        <v>8794.19</v>
      </c>
      <c r="L3" s="2963">
        <v>635</v>
      </c>
      <c r="M3" s="2963">
        <f t="shared" ref="M3:M9" si="1">ROUND(K3/D3*10000,0)</f>
        <v>1016</v>
      </c>
      <c r="N3" s="2963">
        <v>0</v>
      </c>
      <c r="O3" s="2963" t="s">
        <v>3323</v>
      </c>
    </row>
    <row r="4" spans="1:15" s="2966" customFormat="1" ht="27">
      <c r="A4" s="2966" t="s">
        <v>3324</v>
      </c>
      <c r="B4" s="2966" t="s">
        <v>3315</v>
      </c>
      <c r="C4" s="2966" t="s">
        <v>3316</v>
      </c>
      <c r="D4" s="2966">
        <v>16688</v>
      </c>
      <c r="E4" s="2966">
        <v>45057.599999999999</v>
      </c>
      <c r="F4" s="2966" t="s">
        <v>3325</v>
      </c>
      <c r="G4" s="2966">
        <f t="shared" si="0"/>
        <v>2.6999999999999997</v>
      </c>
      <c r="H4" s="2966" t="s">
        <v>3318</v>
      </c>
      <c r="I4" s="2966" t="s">
        <v>3326</v>
      </c>
      <c r="J4" s="2966">
        <v>2703.46</v>
      </c>
      <c r="K4" s="2966">
        <v>2703.46</v>
      </c>
      <c r="L4" s="2966">
        <v>600</v>
      </c>
      <c r="M4" s="2966">
        <f t="shared" si="1"/>
        <v>1620</v>
      </c>
      <c r="N4" s="2966">
        <v>0</v>
      </c>
      <c r="O4" s="2966" t="s">
        <v>3327</v>
      </c>
    </row>
    <row r="5" spans="1:15" s="2966" customFormat="1" ht="27">
      <c r="A5" s="2966" t="s">
        <v>3328</v>
      </c>
      <c r="B5" s="2966" t="s">
        <v>3315</v>
      </c>
      <c r="C5" s="2966" t="s">
        <v>3316</v>
      </c>
      <c r="D5" s="2966">
        <v>29583</v>
      </c>
      <c r="E5" s="2966">
        <v>91707.3</v>
      </c>
      <c r="F5" s="2966" t="s">
        <v>3329</v>
      </c>
      <c r="G5" s="2966">
        <f t="shared" si="0"/>
        <v>3.1</v>
      </c>
      <c r="H5" s="2966" t="s">
        <v>3318</v>
      </c>
      <c r="I5" s="2966" t="s">
        <v>3330</v>
      </c>
      <c r="J5" s="2966">
        <v>5502.43</v>
      </c>
      <c r="K5" s="2966">
        <v>5502.43</v>
      </c>
      <c r="L5" s="2966">
        <v>600</v>
      </c>
      <c r="M5" s="2966">
        <f t="shared" si="1"/>
        <v>1860</v>
      </c>
      <c r="N5" s="2966">
        <v>0</v>
      </c>
      <c r="O5" s="2966" t="s">
        <v>3331</v>
      </c>
    </row>
    <row r="6" spans="1:15" ht="27">
      <c r="A6" s="2962" t="s">
        <v>3332</v>
      </c>
      <c r="B6" s="2961" t="s">
        <v>3315</v>
      </c>
      <c r="C6" s="2961" t="s">
        <v>3316</v>
      </c>
      <c r="D6" s="2961">
        <v>49832</v>
      </c>
      <c r="E6" s="2961">
        <v>59798.400000000001</v>
      </c>
      <c r="F6" s="2961" t="s">
        <v>3333</v>
      </c>
      <c r="G6" s="2961">
        <f t="shared" si="0"/>
        <v>1.2</v>
      </c>
      <c r="H6" s="2961" t="s">
        <v>3318</v>
      </c>
      <c r="I6" s="2961" t="s">
        <v>3334</v>
      </c>
      <c r="J6" s="2961">
        <v>6229</v>
      </c>
      <c r="K6" s="2961">
        <v>7474.8</v>
      </c>
      <c r="L6" s="2961">
        <v>1250</v>
      </c>
      <c r="M6" s="2961">
        <f t="shared" si="1"/>
        <v>1500</v>
      </c>
      <c r="N6" s="2961">
        <v>20</v>
      </c>
      <c r="O6" s="2961" t="s">
        <v>3335</v>
      </c>
    </row>
    <row r="7" spans="1:15" ht="27">
      <c r="A7" s="2961" t="s">
        <v>3336</v>
      </c>
      <c r="B7" s="2961" t="s">
        <v>3315</v>
      </c>
      <c r="C7" s="2961" t="s">
        <v>3316</v>
      </c>
      <c r="D7" s="2961">
        <v>5064</v>
      </c>
      <c r="E7" s="2961">
        <v>8102.4</v>
      </c>
      <c r="F7" s="2961" t="s">
        <v>3337</v>
      </c>
      <c r="G7" s="2961">
        <f t="shared" si="0"/>
        <v>1.5999999999999999</v>
      </c>
      <c r="H7" s="2961" t="s">
        <v>3318</v>
      </c>
      <c r="I7" s="2961" t="s">
        <v>3338</v>
      </c>
      <c r="J7" s="2961">
        <v>1239.67</v>
      </c>
      <c r="K7" s="2961">
        <v>1239.67</v>
      </c>
      <c r="L7" s="2961">
        <v>1530</v>
      </c>
      <c r="M7" s="2961">
        <f t="shared" si="1"/>
        <v>2448</v>
      </c>
      <c r="N7" s="2961">
        <v>0</v>
      </c>
      <c r="O7" s="2961" t="s">
        <v>3339</v>
      </c>
    </row>
    <row r="8" spans="1:15" ht="27">
      <c r="A8" s="2962" t="s">
        <v>3340</v>
      </c>
      <c r="B8" s="2961" t="s">
        <v>3315</v>
      </c>
      <c r="C8" s="2961" t="s">
        <v>3316</v>
      </c>
      <c r="D8" s="2961">
        <v>23915.8</v>
      </c>
      <c r="E8" s="2961">
        <v>66964.240000000005</v>
      </c>
      <c r="F8" s="2961" t="s">
        <v>3341</v>
      </c>
      <c r="G8" s="2961">
        <f t="shared" si="0"/>
        <v>2.8000000000000003</v>
      </c>
      <c r="H8" s="2961" t="s">
        <v>3318</v>
      </c>
      <c r="I8" s="2961" t="s">
        <v>3342</v>
      </c>
      <c r="J8" s="2961">
        <v>4017.84</v>
      </c>
      <c r="K8" s="2961">
        <v>4017.84</v>
      </c>
      <c r="L8" s="2961">
        <v>600</v>
      </c>
      <c r="M8" s="2961">
        <f t="shared" si="1"/>
        <v>1680</v>
      </c>
      <c r="N8" s="2961">
        <v>0</v>
      </c>
      <c r="O8" s="2961" t="s">
        <v>3343</v>
      </c>
    </row>
    <row r="9" spans="1:15" ht="27">
      <c r="A9" s="2961" t="s">
        <v>3344</v>
      </c>
      <c r="B9" s="2961" t="s">
        <v>3315</v>
      </c>
      <c r="C9" s="2961" t="s">
        <v>3316</v>
      </c>
      <c r="D9" s="2961">
        <v>91834.7</v>
      </c>
      <c r="E9" s="2961">
        <v>119385.1</v>
      </c>
      <c r="F9" s="2961" t="s">
        <v>3345</v>
      </c>
      <c r="G9" s="2961">
        <f t="shared" si="0"/>
        <v>1.2999998911086987</v>
      </c>
      <c r="H9" s="2961" t="s">
        <v>3318</v>
      </c>
      <c r="I9" s="2961" t="s">
        <v>3346</v>
      </c>
      <c r="J9" s="2961">
        <v>6984.02</v>
      </c>
      <c r="K9" s="2961">
        <v>6984.02</v>
      </c>
      <c r="L9" s="2961">
        <v>585</v>
      </c>
      <c r="M9" s="2961">
        <f t="shared" si="1"/>
        <v>760</v>
      </c>
      <c r="N9" s="2961">
        <v>0</v>
      </c>
      <c r="O9" s="2961" t="s">
        <v>3347</v>
      </c>
    </row>
    <row r="23" spans="5:6">
      <c r="E23" s="3365">
        <f>[1]系统读取表!B5*10000</f>
        <v>283390000</v>
      </c>
      <c r="F23" s="3365"/>
    </row>
  </sheetData>
  <mergeCells count="1">
    <mergeCell ref="E23:F2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67" t="s">
        <v>3006</v>
      </c>
      <c r="D1" s="3368"/>
      <c r="E1" s="3368"/>
      <c r="F1" s="3368"/>
      <c r="G1" s="3368"/>
      <c r="H1" s="3368"/>
      <c r="I1" s="3368"/>
      <c r="J1" s="3368"/>
      <c r="K1" s="3368"/>
      <c r="L1" s="3368"/>
      <c r="M1" s="3368"/>
      <c r="N1" s="3368"/>
      <c r="O1" s="3368"/>
      <c r="P1" s="3368"/>
      <c r="Q1" s="3368"/>
      <c r="R1" s="3368"/>
      <c r="S1" s="3369"/>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8" t="s">
        <v>33</v>
      </c>
      <c r="D22" s="3149"/>
      <c r="E22" s="3149"/>
      <c r="F22" s="3149"/>
      <c r="G22" s="3149"/>
      <c r="H22" s="3149"/>
      <c r="I22" s="3149"/>
      <c r="J22" s="3149"/>
      <c r="K22" s="3149"/>
      <c r="L22" s="3149"/>
      <c r="M22" s="3149"/>
      <c r="N22" s="3149"/>
      <c r="O22" s="3149"/>
      <c r="P22" s="3149"/>
      <c r="Q22" s="3366"/>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40476</v>
      </c>
      <c r="C2" s="2" t="s">
        <v>133</v>
      </c>
      <c r="D2" s="243"/>
      <c r="E2" s="243"/>
      <c r="F2" s="243"/>
      <c r="G2" s="243"/>
    </row>
    <row r="3" spans="1:7" s="244" customFormat="1" ht="18" customHeight="1" thickBot="1">
      <c r="A3" s="247" t="s">
        <v>85</v>
      </c>
      <c r="B3" s="248">
        <f ca="1">ROUND(B2*10000/'数据-汇总表'!E3,0)</f>
        <v>19795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286</v>
      </c>
      <c r="D10" s="1035">
        <f>'数据-汇总表'!E6</f>
        <v>20447.539999999997</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368</v>
      </c>
      <c r="D19" s="1039">
        <f>'数据-汇总表'!E3</f>
        <v>20447.539999999997</v>
      </c>
      <c r="E19" s="255">
        <f>'数据-取费表'!B31</f>
        <v>180</v>
      </c>
      <c r="F19" s="275"/>
      <c r="G19" s="1" t="s">
        <v>1071</v>
      </c>
    </row>
    <row r="20" spans="1:7" s="258" customFormat="1" ht="13.5" customHeight="1">
      <c r="A20" s="951" t="s">
        <v>1054</v>
      </c>
      <c r="B20" s="254" t="s">
        <v>104</v>
      </c>
      <c r="C20" s="276">
        <f>ROUND((C5+C19)*F20,0)</f>
        <v>629</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3179</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1055</v>
      </c>
      <c r="C25" s="1358">
        <f ca="1">ROUND(IF('数据-取费表'!B22&lt;=1,C20*F22*'数据-取费表'!B23/2,C20*(POWER((1+F22),'数据-取费表'!B23/2)-1)),0)</f>
        <v>45</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4321</v>
      </c>
      <c r="D27" s="279">
        <f>C29</f>
        <v>6.0000000000000001E-3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4321</v>
      </c>
      <c r="D28" s="279"/>
      <c r="E28" s="280"/>
      <c r="F28" s="290"/>
      <c r="G28" s="291"/>
    </row>
    <row r="29" spans="1:7" s="258" customFormat="1" ht="13.5" customHeight="1">
      <c r="A29" s="954" t="s">
        <v>792</v>
      </c>
      <c r="B29" s="292" t="s">
        <v>1060</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6030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5316</v>
      </c>
      <c r="D34" s="261"/>
      <c r="E34" s="264"/>
      <c r="F34" s="301">
        <f>IF('数据-取费表'!B24=0,1,'数据-取费表'!N16)</f>
        <v>1</v>
      </c>
      <c r="G34" s="263" t="s">
        <v>116</v>
      </c>
    </row>
    <row r="35" spans="1:7" ht="13.5" customHeight="1">
      <c r="A35" s="954" t="s">
        <v>796</v>
      </c>
      <c r="B35" s="259" t="s">
        <v>60</v>
      </c>
      <c r="C35" s="264">
        <f>ROUND(C34*F35,0)</f>
        <v>266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368</v>
      </c>
      <c r="D37" s="261">
        <f>'数据-汇总表'!E3</f>
        <v>20447.539999999997</v>
      </c>
      <c r="E37" s="293">
        <f>'数据-取费表'!B35</f>
        <v>180</v>
      </c>
      <c r="F37" s="303"/>
      <c r="G37" s="305" t="s">
        <v>119</v>
      </c>
    </row>
    <row r="38" spans="1:7" ht="13.5" customHeight="1">
      <c r="A38" s="954" t="s">
        <v>799</v>
      </c>
      <c r="B38" s="259" t="s">
        <v>63</v>
      </c>
      <c r="C38" s="264">
        <f>ROUND(C34*F38,0)</f>
        <v>80</v>
      </c>
      <c r="D38" s="264"/>
      <c r="E38" s="264"/>
      <c r="F38" s="303">
        <f>'数据-取费表'!B36</f>
        <v>1.4999999999999999E-2</v>
      </c>
      <c r="G38" s="263" t="s">
        <v>117</v>
      </c>
    </row>
    <row r="39" spans="1:7" s="258" customFormat="1" ht="13.5" customHeight="1">
      <c r="A39" s="951" t="s">
        <v>783</v>
      </c>
      <c r="B39" s="254" t="s">
        <v>104</v>
      </c>
      <c r="C39" s="276">
        <f>ROUND(C33*F20,0)</f>
        <v>181</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448</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435</v>
      </c>
      <c r="D42" s="282"/>
      <c r="E42" s="282"/>
      <c r="F42" s="283"/>
      <c r="G42" s="3233" t="s">
        <v>121</v>
      </c>
    </row>
    <row r="43" spans="1:7" ht="13.5" customHeight="1">
      <c r="A43" s="954" t="s">
        <v>792</v>
      </c>
      <c r="B43" s="259" t="s">
        <v>1061</v>
      </c>
      <c r="C43" s="282">
        <f ca="1">ROUND(IF('数据-取费表'!B22&lt;=1,C39*F22*'数据-取费表'!B21/2,C39*(POWER((1+F22),'数据-取费表'!B21/2)-1)),0)</f>
        <v>13</v>
      </c>
      <c r="D43" s="282"/>
      <c r="E43" s="282"/>
      <c r="F43" s="283"/>
      <c r="G43" s="3234"/>
    </row>
    <row r="44" spans="1:7" ht="13.5" customHeight="1">
      <c r="A44" s="954" t="s">
        <v>793</v>
      </c>
      <c r="B44" s="259" t="s">
        <v>1063</v>
      </c>
      <c r="C44" s="282">
        <f ca="1">ROUND(IF('数据-取费表'!B22&lt;=1,C40*F22*'数据-取费表'!B21/2,C40*(POWER((1+F22),'数据-取费表'!B21/2)-1)),4)</f>
        <v>2.2000000000000001E-3</v>
      </c>
      <c r="D44" s="282"/>
      <c r="E44" s="282"/>
      <c r="F44" s="283"/>
      <c r="G44" s="3235"/>
    </row>
    <row r="45" spans="1:7" s="258" customFormat="1" ht="13.5" customHeight="1">
      <c r="A45" s="951" t="s">
        <v>786</v>
      </c>
      <c r="B45" s="288" t="s">
        <v>112</v>
      </c>
      <c r="C45" s="289">
        <f>C46</f>
        <v>1242</v>
      </c>
      <c r="D45" s="279">
        <f>C47</f>
        <v>6.0000000000000001E-3</v>
      </c>
      <c r="E45" s="280" t="s">
        <v>129</v>
      </c>
      <c r="F45" s="290"/>
      <c r="G45" s="291" t="s">
        <v>1069</v>
      </c>
    </row>
    <row r="46" spans="1:7" s="258" customFormat="1" ht="13.5" customHeight="1">
      <c r="A46" s="954" t="s">
        <v>794</v>
      </c>
      <c r="B46" s="292" t="s">
        <v>1062</v>
      </c>
      <c r="C46" s="293">
        <f>ROUND((C33+C39)*F27,0)</f>
        <v>1242</v>
      </c>
      <c r="D46" s="307"/>
      <c r="E46" s="280"/>
      <c r="F46" s="290"/>
      <c r="G46" s="291"/>
    </row>
    <row r="47" spans="1:7" s="258" customFormat="1" ht="13.5" customHeight="1">
      <c r="A47" s="954" t="s">
        <v>792</v>
      </c>
      <c r="B47" s="292" t="s">
        <v>1064</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8697</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8436</v>
      </c>
      <c r="D51" s="276"/>
      <c r="E51" s="276"/>
      <c r="F51" s="308"/>
      <c r="G51" s="278" t="s">
        <v>64</v>
      </c>
    </row>
    <row r="52" spans="1:7" s="252" customFormat="1" ht="16.5" thickBot="1">
      <c r="A52" s="309" t="s">
        <v>65</v>
      </c>
      <c r="B52" s="310"/>
      <c r="C52" s="311">
        <f ca="1">C31+C51</f>
        <v>40476</v>
      </c>
      <c r="D52" s="310"/>
      <c r="E52" s="310"/>
      <c r="F52" s="310"/>
      <c r="G52" s="312"/>
    </row>
    <row r="55" spans="1:7" ht="15">
      <c r="B55" s="314" t="s">
        <v>66</v>
      </c>
      <c r="C55" s="315"/>
    </row>
    <row r="56" spans="1:7">
      <c r="B56" s="317" t="s">
        <v>67</v>
      </c>
      <c r="C56" s="318">
        <f ca="1">ROUND(C51/C52,3)</f>
        <v>0.20799999999999999</v>
      </c>
    </row>
    <row r="57" spans="1:7">
      <c r="B57" s="317" t="s">
        <v>68</v>
      </c>
      <c r="C57" s="319">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0" t="s">
        <v>156</v>
      </c>
      <c r="B1" s="3370"/>
      <c r="C1" s="3370"/>
      <c r="D1" s="3370"/>
      <c r="E1" s="3370"/>
      <c r="F1" s="33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1" t="s">
        <v>169</v>
      </c>
      <c r="B2" s="3371"/>
      <c r="C2" s="3371"/>
      <c r="D2" s="3371"/>
      <c r="E2" s="3371"/>
      <c r="F2" s="33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0" t="s">
        <v>868</v>
      </c>
      <c r="B1" s="337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46" t="str">
        <f>IF(项目基本情况!B9="房地产市场价值","估价结果一览表","结果表-2")</f>
        <v>结果表-2</v>
      </c>
      <c r="B1" s="3046"/>
      <c r="C1" s="3046"/>
      <c r="D1" s="3046"/>
      <c r="E1" s="3046"/>
      <c r="F1" s="3046"/>
      <c r="G1" s="3046"/>
      <c r="H1" s="3046"/>
      <c r="I1" s="3046"/>
    </row>
    <row r="2" spans="1:9" ht="30" customHeight="1" thickTop="1">
      <c r="A2" s="3047" t="s">
        <v>1637</v>
      </c>
      <c r="B2" s="3047" t="s">
        <v>1638</v>
      </c>
      <c r="C2" s="3047" t="s">
        <v>1639</v>
      </c>
      <c r="D2" s="3047" t="str">
        <f>结果表!D116</f>
        <v>出让国有建设用地使用权价值</v>
      </c>
      <c r="E2" s="3047"/>
      <c r="F2" s="3047" t="str">
        <f>结果表!F116</f>
        <v>建筑物价值</v>
      </c>
      <c r="G2" s="3047"/>
      <c r="H2" s="3047" t="str">
        <f>IF(项目基本情况!B9="房地产市场价值","房地产市场价值","房地产价值")</f>
        <v>房地产价值</v>
      </c>
      <c r="I2" s="3047"/>
    </row>
    <row r="3" spans="1:9" ht="15">
      <c r="A3" s="3048"/>
      <c r="B3" s="3048"/>
      <c r="C3" s="3048"/>
      <c r="D3" s="1047" t="s">
        <v>1634</v>
      </c>
      <c r="E3" s="1047" t="s">
        <v>1640</v>
      </c>
      <c r="F3" s="1047" t="s">
        <v>1634</v>
      </c>
      <c r="G3" s="1047" t="s">
        <v>1635</v>
      </c>
      <c r="H3" s="1047" t="s">
        <v>1634</v>
      </c>
      <c r="I3" s="1047" t="s">
        <v>1635</v>
      </c>
    </row>
    <row r="4" spans="1:9" ht="15">
      <c r="A4" s="1976" t="str">
        <f>项目基本情况!S2</f>
        <v>房地产</v>
      </c>
      <c r="B4" s="1047">
        <f>项目基本情况!C17</f>
        <v>20447.539999999997</v>
      </c>
      <c r="C4" s="1047">
        <f>项目基本情况!C18</f>
        <v>40347.69</v>
      </c>
      <c r="D4" s="1047">
        <f ca="1">结果表!D118</f>
        <v>12165</v>
      </c>
      <c r="E4" s="1047">
        <f ca="1">结果表!E118</f>
        <v>5949</v>
      </c>
      <c r="F4" s="1047">
        <f ca="1">结果表!F118</f>
        <v>9252</v>
      </c>
      <c r="G4" s="1047">
        <f ca="1">结果表!G118</f>
        <v>4525</v>
      </c>
      <c r="H4" s="1047">
        <f ca="1">结果表!H118</f>
        <v>21417</v>
      </c>
      <c r="I4" s="1047">
        <f ca="1">结果表!I118</f>
        <v>10474</v>
      </c>
    </row>
    <row r="5" spans="1:9" ht="30" customHeight="1">
      <c r="A5" s="3048" t="s">
        <v>1636</v>
      </c>
      <c r="B5" s="3048"/>
      <c r="C5" s="3048"/>
      <c r="D5" s="3049" t="str">
        <f ca="1">结果表!D119</f>
        <v>壹亿贰仟壹佰陆拾伍万元整</v>
      </c>
      <c r="E5" s="3049"/>
      <c r="F5" s="3049" t="str">
        <f ca="1">结果表!F119</f>
        <v>玖仟贰佰伍拾贰万元整</v>
      </c>
      <c r="G5" s="3049"/>
      <c r="H5" s="3049" t="str">
        <f ca="1">结果表!H119</f>
        <v>贰亿壹仟肆佰壹拾柒万元整</v>
      </c>
      <c r="I5" s="3049"/>
    </row>
    <row r="6" spans="1:9" ht="15.75">
      <c r="A6" s="3050" t="str">
        <f>结果表!A120</f>
        <v>估价师知悉的法定优先受偿款</v>
      </c>
      <c r="B6" s="3050"/>
      <c r="C6" s="3050"/>
      <c r="D6" s="3050">
        <f>结果表!D120</f>
        <v>0</v>
      </c>
      <c r="E6" s="3050"/>
      <c r="F6" s="3050"/>
      <c r="G6" s="3050"/>
      <c r="H6" s="3050"/>
      <c r="I6" s="3050"/>
    </row>
    <row r="7" spans="1:9" ht="15">
      <c r="A7" s="3048" t="s">
        <v>1636</v>
      </c>
      <c r="B7" s="3048"/>
      <c r="C7" s="3048"/>
      <c r="D7" s="3051" t="str">
        <f>结果表!D121</f>
        <v>零元整</v>
      </c>
      <c r="E7" s="3052"/>
      <c r="F7" s="3052"/>
      <c r="G7" s="3052"/>
      <c r="H7" s="3052"/>
      <c r="I7" s="3053"/>
    </row>
    <row r="8" spans="1:9" ht="15.75">
      <c r="A8" s="3050" t="str">
        <f>结果表!A122</f>
        <v>房地产抵押价值</v>
      </c>
      <c r="B8" s="3050"/>
      <c r="C8" s="3050"/>
      <c r="D8" s="3050">
        <f ca="1">结果表!D122</f>
        <v>21417</v>
      </c>
      <c r="E8" s="3050"/>
      <c r="F8" s="3050"/>
      <c r="G8" s="3050"/>
      <c r="H8" s="3050"/>
      <c r="I8" s="3050"/>
    </row>
    <row r="9" spans="1:9" ht="15">
      <c r="A9" s="3048" t="s">
        <v>1636</v>
      </c>
      <c r="B9" s="3048"/>
      <c r="C9" s="3048"/>
      <c r="D9" s="3049" t="str">
        <f ca="1">结果表!D123</f>
        <v>贰亿壹仟肆佰壹拾柒万元整</v>
      </c>
      <c r="E9" s="3049"/>
      <c r="F9" s="3049"/>
      <c r="G9" s="3049"/>
      <c r="H9" s="3049"/>
      <c r="I9" s="3049"/>
    </row>
    <row r="10" spans="1:9" ht="15.75">
      <c r="A10" s="3050" t="str">
        <f>结果表!A124</f>
        <v/>
      </c>
      <c r="B10" s="3050"/>
      <c r="C10" s="3050"/>
      <c r="D10" s="3050" t="str">
        <f>结果表!D124</f>
        <v>——</v>
      </c>
      <c r="E10" s="3050"/>
      <c r="F10" s="3050"/>
      <c r="G10" s="3050"/>
      <c r="H10" s="3050"/>
      <c r="I10" s="3050"/>
    </row>
    <row r="11" spans="1:9" ht="15">
      <c r="A11" s="3048" t="s">
        <v>1636</v>
      </c>
      <c r="B11" s="3048"/>
      <c r="C11" s="3048"/>
      <c r="D11" s="3049" t="e">
        <f>结果表!D125</f>
        <v>#VALUE!</v>
      </c>
      <c r="E11" s="3049"/>
      <c r="F11" s="3049"/>
      <c r="G11" s="3049"/>
      <c r="H11" s="3049"/>
      <c r="I11" s="3049"/>
    </row>
    <row r="12" spans="1:9" ht="15.75">
      <c r="A12" s="3050" t="str">
        <f>结果表!A126</f>
        <v/>
      </c>
      <c r="B12" s="3050"/>
      <c r="C12" s="3050"/>
      <c r="D12" s="3050" t="str">
        <f>结果表!D126</f>
        <v>——</v>
      </c>
      <c r="E12" s="3050"/>
      <c r="F12" s="3050"/>
      <c r="G12" s="3050"/>
      <c r="H12" s="3050"/>
      <c r="I12" s="3050"/>
    </row>
    <row r="13" spans="1:9" ht="15.75" thickBot="1">
      <c r="A13" s="3054" t="s">
        <v>1636</v>
      </c>
      <c r="B13" s="3054"/>
      <c r="C13" s="3054"/>
      <c r="D13" s="3055" t="e">
        <f>结果表!D127</f>
        <v>#VALUE!</v>
      </c>
      <c r="E13" s="3055"/>
      <c r="F13" s="3055"/>
      <c r="G13" s="3055"/>
      <c r="H13" s="3055"/>
      <c r="I13" s="3055"/>
    </row>
    <row r="14" spans="1:9" ht="15" thickTop="1">
      <c r="A14" s="3056" t="s">
        <v>1641</v>
      </c>
      <c r="B14" s="3056"/>
      <c r="C14" s="3056"/>
      <c r="D14" s="3056"/>
      <c r="E14" s="3056"/>
      <c r="F14" s="3056"/>
      <c r="G14" s="3056"/>
      <c r="H14" s="3056"/>
      <c r="I14" s="3056"/>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6"/>
  <sheetViews>
    <sheetView workbookViewId="0">
      <selection activeCell="J11" sqref="J11"/>
    </sheetView>
  </sheetViews>
  <sheetFormatPr defaultRowHeight="13.5"/>
  <cols>
    <col min="4" max="4" width="10.125" customWidth="1"/>
    <col min="5" max="5" width="20.875" customWidth="1"/>
    <col min="6" max="6" width="13.125" customWidth="1"/>
    <col min="7" max="8" width="16.125" bestFit="1" customWidth="1"/>
    <col min="9" max="9" width="8.5" bestFit="1" customWidth="1"/>
    <col min="10" max="10" width="10.5" bestFit="1" customWidth="1"/>
  </cols>
  <sheetData>
    <row r="5" spans="1:10" ht="14.25" thickBot="1"/>
    <row r="6" spans="1:10" ht="14.25" thickBot="1">
      <c r="E6" s="3374" t="s">
        <v>3411</v>
      </c>
      <c r="F6" s="3379" t="s">
        <v>3412</v>
      </c>
      <c r="G6" s="3376" t="s">
        <v>3408</v>
      </c>
      <c r="H6" s="3377"/>
      <c r="I6" s="3378"/>
    </row>
    <row r="7" spans="1:10" ht="14.25" thickBot="1">
      <c r="E7" s="3375"/>
      <c r="F7" s="3380"/>
      <c r="G7" s="2992" t="s">
        <v>3409</v>
      </c>
      <c r="H7" s="2992" t="s">
        <v>3410</v>
      </c>
      <c r="I7" s="2992" t="s">
        <v>37</v>
      </c>
      <c r="J7" s="3033" t="s">
        <v>4493</v>
      </c>
    </row>
    <row r="8" spans="1:10" ht="25.5" thickBot="1">
      <c r="E8" s="2993" t="s">
        <v>3413</v>
      </c>
      <c r="F8" s="2994">
        <v>1462.7400000000021</v>
      </c>
      <c r="G8" s="2995">
        <v>13106.659999999993</v>
      </c>
      <c r="H8" s="2995">
        <v>0</v>
      </c>
      <c r="I8" s="2995">
        <f>G8+H8</f>
        <v>13106.659999999993</v>
      </c>
      <c r="J8">
        <f ca="1">'3号楼面积清单'!N229</f>
        <v>137279155</v>
      </c>
    </row>
    <row r="9" spans="1:10" ht="25.5" thickBot="1">
      <c r="E9" s="2993" t="s">
        <v>3414</v>
      </c>
      <c r="F9" s="2994">
        <v>947.49000000000024</v>
      </c>
      <c r="G9" s="2995">
        <v>7397.6099999999988</v>
      </c>
      <c r="H9" s="2995">
        <v>0</v>
      </c>
      <c r="I9" s="2995">
        <f t="shared" ref="I9:I10" si="0">G9+H9</f>
        <v>7397.6099999999988</v>
      </c>
      <c r="J9">
        <f ca="1">'6号楼面积清单'!N127</f>
        <v>81033420</v>
      </c>
    </row>
    <row r="10" spans="1:10" ht="25.5" thickBot="1">
      <c r="E10" s="2993" t="s">
        <v>3415</v>
      </c>
      <c r="F10" s="2994">
        <v>929.57999999999993</v>
      </c>
      <c r="G10" s="2995">
        <v>7340.8800000000037</v>
      </c>
      <c r="H10" s="2995">
        <v>0</v>
      </c>
      <c r="I10" s="2995">
        <f t="shared" si="0"/>
        <v>7340.8800000000037</v>
      </c>
      <c r="J10">
        <f ca="1">'7号楼面积清单'!N123</f>
        <v>76888366</v>
      </c>
    </row>
    <row r="11" spans="1:10" ht="14.25" thickBot="1">
      <c r="E11" s="2998" t="s">
        <v>37</v>
      </c>
      <c r="F11" s="2997">
        <f>SUM(F8:F10)</f>
        <v>3339.8100000000022</v>
      </c>
      <c r="G11" s="2996">
        <f>SUM(G8:G10)</f>
        <v>27845.149999999994</v>
      </c>
      <c r="H11" s="2996">
        <v>0</v>
      </c>
      <c r="I11" s="2995">
        <f>G11+H11</f>
        <v>27845.149999999994</v>
      </c>
      <c r="J11">
        <f ca="1">ROUND(SUM(J8:J10)/10000,0)</f>
        <v>29520</v>
      </c>
    </row>
    <row r="16" spans="1:10">
      <c r="A16" s="3001"/>
      <c r="B16" s="3001"/>
      <c r="C16" s="3001"/>
      <c r="D16" s="3001"/>
      <c r="E16" s="3001"/>
      <c r="F16" s="3001"/>
      <c r="G16" s="3001"/>
    </row>
  </sheetData>
  <mergeCells count="3">
    <mergeCell ref="E6:E7"/>
    <mergeCell ref="G6:I6"/>
    <mergeCell ref="F6:F7"/>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workbookViewId="0">
      <selection activeCell="M4" sqref="M4"/>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13" width="9" style="3002"/>
    <col min="14" max="14" width="12.5" style="3002" customWidth="1"/>
    <col min="15"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4" ht="18.75" customHeight="1">
      <c r="A1" s="3381" t="s">
        <v>3417</v>
      </c>
      <c r="B1" s="3381"/>
      <c r="C1" s="3381"/>
      <c r="D1" s="3381"/>
      <c r="E1" s="3381"/>
      <c r="F1" s="3381"/>
      <c r="G1" s="3381"/>
      <c r="H1" s="3381"/>
      <c r="I1" s="3381"/>
      <c r="J1" s="3381"/>
      <c r="K1" s="3381"/>
      <c r="L1" s="3381"/>
    </row>
    <row r="2" spans="1:14" ht="13.5" customHeight="1">
      <c r="A2" s="3382" t="s">
        <v>3418</v>
      </c>
      <c r="B2" s="3382"/>
      <c r="C2" s="3382"/>
      <c r="D2" s="3382"/>
      <c r="E2" s="3382"/>
      <c r="F2" s="3382"/>
      <c r="G2" s="3382"/>
      <c r="H2" s="3382"/>
      <c r="I2" s="3382"/>
      <c r="J2" s="3382"/>
      <c r="K2" s="3382"/>
      <c r="L2" s="3382"/>
    </row>
    <row r="3" spans="1:14"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4490</v>
      </c>
      <c r="N3" s="3002" t="s">
        <v>4491</v>
      </c>
    </row>
    <row r="4" spans="1:14" ht="24">
      <c r="A4" s="3007">
        <v>1</v>
      </c>
      <c r="B4" s="3004" t="s">
        <v>3059</v>
      </c>
      <c r="C4" s="3004" t="s">
        <v>3431</v>
      </c>
      <c r="D4" s="3004" t="s">
        <v>3432</v>
      </c>
      <c r="E4" s="3008" t="s">
        <v>3433</v>
      </c>
      <c r="F4" s="3009">
        <v>53.5</v>
      </c>
      <c r="G4" s="3009">
        <v>5.97</v>
      </c>
      <c r="H4" s="3004" t="s">
        <v>1373</v>
      </c>
      <c r="I4" s="3007" t="s">
        <v>3434</v>
      </c>
      <c r="J4" s="3010">
        <v>56156</v>
      </c>
      <c r="K4" s="3007" t="s">
        <v>3435</v>
      </c>
      <c r="L4" s="3007" t="s">
        <v>3436</v>
      </c>
      <c r="M4" s="3002">
        <f ca="1">结果表!G20</f>
        <v>10474</v>
      </c>
      <c r="N4" s="3002">
        <f ca="1">ROUND(F4*$M$4,0)</f>
        <v>560359</v>
      </c>
    </row>
    <row r="5" spans="1:14" ht="24">
      <c r="A5" s="3007">
        <v>2</v>
      </c>
      <c r="B5" s="3004" t="s">
        <v>3060</v>
      </c>
      <c r="C5" s="3004" t="s">
        <v>3437</v>
      </c>
      <c r="D5" s="3004" t="s">
        <v>3438</v>
      </c>
      <c r="E5" s="3008" t="s">
        <v>3439</v>
      </c>
      <c r="F5" s="3009">
        <v>73.14</v>
      </c>
      <c r="G5" s="3009">
        <v>8.16</v>
      </c>
      <c r="H5" s="3004" t="s">
        <v>1373</v>
      </c>
      <c r="I5" s="3007" t="s">
        <v>3440</v>
      </c>
      <c r="J5" s="3010">
        <f>$J$4</f>
        <v>56156</v>
      </c>
      <c r="K5" s="3007" t="str">
        <f>$K$4</f>
        <v>12层</v>
      </c>
      <c r="L5" s="3007" t="str">
        <f>$L$4</f>
        <v>1层</v>
      </c>
      <c r="N5" s="3002">
        <f t="shared" ref="N5:N68" ca="1" si="0">ROUND(F5*$M$4,0)</f>
        <v>766068</v>
      </c>
    </row>
    <row r="6" spans="1:14" ht="24">
      <c r="A6" s="3007">
        <v>3</v>
      </c>
      <c r="B6" s="3004" t="s">
        <v>3061</v>
      </c>
      <c r="C6" s="3004" t="s">
        <v>3431</v>
      </c>
      <c r="D6" s="3004" t="s">
        <v>3441</v>
      </c>
      <c r="E6" s="3008" t="s">
        <v>3442</v>
      </c>
      <c r="F6" s="3009">
        <v>73.27</v>
      </c>
      <c r="G6" s="3009">
        <v>8.18</v>
      </c>
      <c r="H6" s="3004" t="s">
        <v>1373</v>
      </c>
      <c r="I6" s="3007" t="s">
        <v>3443</v>
      </c>
      <c r="J6" s="3010">
        <f t="shared" ref="J6:J69" si="1">$J$4</f>
        <v>56156</v>
      </c>
      <c r="K6" s="3007" t="str">
        <f t="shared" ref="K6:K69" si="2">$K$4</f>
        <v>12层</v>
      </c>
      <c r="L6" s="3007" t="str">
        <f t="shared" ref="L6:L20" si="3">$L$4</f>
        <v>1层</v>
      </c>
      <c r="N6" s="3002">
        <f t="shared" ca="1" si="0"/>
        <v>767430</v>
      </c>
    </row>
    <row r="7" spans="1:14" ht="24.75" customHeight="1">
      <c r="A7" s="3007">
        <v>4</v>
      </c>
      <c r="B7" s="3004" t="s">
        <v>3062</v>
      </c>
      <c r="C7" s="3004" t="s">
        <v>3431</v>
      </c>
      <c r="D7" s="3004" t="s">
        <v>3444</v>
      </c>
      <c r="E7" s="3008" t="s">
        <v>3445</v>
      </c>
      <c r="F7" s="3006">
        <v>53.53</v>
      </c>
      <c r="G7" s="3006">
        <v>5.97</v>
      </c>
      <c r="H7" s="3004" t="s">
        <v>1373</v>
      </c>
      <c r="I7" s="3007" t="s">
        <v>3443</v>
      </c>
      <c r="J7" s="3010">
        <f t="shared" si="1"/>
        <v>56156</v>
      </c>
      <c r="K7" s="3007" t="str">
        <f t="shared" si="2"/>
        <v>12层</v>
      </c>
      <c r="L7" s="3007" t="str">
        <f t="shared" si="3"/>
        <v>1层</v>
      </c>
      <c r="N7" s="3002">
        <f t="shared" ca="1" si="0"/>
        <v>560673</v>
      </c>
    </row>
    <row r="8" spans="1:14" ht="24">
      <c r="A8" s="3007">
        <v>5</v>
      </c>
      <c r="B8" s="3007" t="s">
        <v>3064</v>
      </c>
      <c r="C8" s="3004" t="s">
        <v>3431</v>
      </c>
      <c r="D8" s="3004" t="s">
        <v>3446</v>
      </c>
      <c r="E8" s="3008" t="s">
        <v>3447</v>
      </c>
      <c r="F8" s="3011">
        <v>53.58</v>
      </c>
      <c r="G8" s="3011">
        <v>5.98</v>
      </c>
      <c r="H8" s="3004" t="s">
        <v>1373</v>
      </c>
      <c r="I8" s="3007" t="s">
        <v>3448</v>
      </c>
      <c r="J8" s="3010">
        <f t="shared" si="1"/>
        <v>56156</v>
      </c>
      <c r="K8" s="3007" t="str">
        <f t="shared" si="2"/>
        <v>12层</v>
      </c>
      <c r="L8" s="3007" t="str">
        <f t="shared" si="3"/>
        <v>1层</v>
      </c>
      <c r="N8" s="3002">
        <f t="shared" ca="1" si="0"/>
        <v>561197</v>
      </c>
    </row>
    <row r="9" spans="1:14" ht="24">
      <c r="A9" s="3007">
        <v>6</v>
      </c>
      <c r="B9" s="3007" t="s">
        <v>3065</v>
      </c>
      <c r="C9" s="3004" t="s">
        <v>3449</v>
      </c>
      <c r="D9" s="3004" t="s">
        <v>3450</v>
      </c>
      <c r="E9" s="3008" t="s">
        <v>3451</v>
      </c>
      <c r="F9" s="3011">
        <v>54.26</v>
      </c>
      <c r="G9" s="3011">
        <v>6.06</v>
      </c>
      <c r="H9" s="3004" t="s">
        <v>1373</v>
      </c>
      <c r="I9" s="3007" t="s">
        <v>3448</v>
      </c>
      <c r="J9" s="3010">
        <f t="shared" si="1"/>
        <v>56156</v>
      </c>
      <c r="K9" s="3007" t="str">
        <f t="shared" si="2"/>
        <v>12层</v>
      </c>
      <c r="L9" s="3007" t="str">
        <f t="shared" si="3"/>
        <v>1层</v>
      </c>
      <c r="N9" s="3002">
        <f t="shared" ca="1" si="0"/>
        <v>568319</v>
      </c>
    </row>
    <row r="10" spans="1:14" ht="24">
      <c r="A10" s="3007">
        <v>7</v>
      </c>
      <c r="B10" s="3007" t="s">
        <v>3066</v>
      </c>
      <c r="C10" s="3004" t="s">
        <v>3449</v>
      </c>
      <c r="D10" s="3004" t="s">
        <v>3452</v>
      </c>
      <c r="E10" s="3008" t="s">
        <v>3453</v>
      </c>
      <c r="F10" s="3011">
        <v>62.19</v>
      </c>
      <c r="G10" s="3011">
        <v>6.94</v>
      </c>
      <c r="H10" s="3004" t="s">
        <v>1373</v>
      </c>
      <c r="I10" s="3007" t="s">
        <v>3448</v>
      </c>
      <c r="J10" s="3010">
        <f t="shared" si="1"/>
        <v>56156</v>
      </c>
      <c r="K10" s="3007" t="str">
        <f t="shared" si="2"/>
        <v>12层</v>
      </c>
      <c r="L10" s="3007" t="str">
        <f t="shared" si="3"/>
        <v>1层</v>
      </c>
      <c r="N10" s="3002">
        <f t="shared" ca="1" si="0"/>
        <v>651378</v>
      </c>
    </row>
    <row r="11" spans="1:14" ht="24">
      <c r="A11" s="3007">
        <v>8</v>
      </c>
      <c r="B11" s="3007" t="s">
        <v>3067</v>
      </c>
      <c r="C11" s="3004" t="s">
        <v>3449</v>
      </c>
      <c r="D11" s="3004" t="s">
        <v>3454</v>
      </c>
      <c r="E11" s="3008" t="s">
        <v>3455</v>
      </c>
      <c r="F11" s="3011">
        <v>54.02</v>
      </c>
      <c r="G11" s="3011">
        <v>6.03</v>
      </c>
      <c r="H11" s="3004" t="s">
        <v>1373</v>
      </c>
      <c r="I11" s="3007" t="s">
        <v>3448</v>
      </c>
      <c r="J11" s="3010">
        <f t="shared" si="1"/>
        <v>56156</v>
      </c>
      <c r="K11" s="3007" t="str">
        <f t="shared" si="2"/>
        <v>12层</v>
      </c>
      <c r="L11" s="3007" t="str">
        <f t="shared" si="3"/>
        <v>1层</v>
      </c>
      <c r="N11" s="3002">
        <f t="shared" ca="1" si="0"/>
        <v>565805</v>
      </c>
    </row>
    <row r="12" spans="1:14" ht="24">
      <c r="A12" s="3007">
        <v>9</v>
      </c>
      <c r="B12" s="3007" t="s">
        <v>3068</v>
      </c>
      <c r="C12" s="3004" t="s">
        <v>3449</v>
      </c>
      <c r="D12" s="3004" t="s">
        <v>3456</v>
      </c>
      <c r="E12" s="3008" t="s">
        <v>3457</v>
      </c>
      <c r="F12" s="3011">
        <v>54.27</v>
      </c>
      <c r="G12" s="3011">
        <v>6.06</v>
      </c>
      <c r="H12" s="3004" t="s">
        <v>1373</v>
      </c>
      <c r="I12" s="3007" t="s">
        <v>3448</v>
      </c>
      <c r="J12" s="3010">
        <f t="shared" si="1"/>
        <v>56156</v>
      </c>
      <c r="K12" s="3007" t="str">
        <f t="shared" si="2"/>
        <v>12层</v>
      </c>
      <c r="L12" s="3007" t="str">
        <f t="shared" si="3"/>
        <v>1层</v>
      </c>
      <c r="N12" s="3002">
        <f t="shared" ca="1" si="0"/>
        <v>568424</v>
      </c>
    </row>
    <row r="13" spans="1:14" ht="24">
      <c r="A13" s="3007">
        <v>10</v>
      </c>
      <c r="B13" s="3007" t="s">
        <v>3069</v>
      </c>
      <c r="C13" s="3004" t="s">
        <v>3449</v>
      </c>
      <c r="D13" s="3004" t="s">
        <v>3458</v>
      </c>
      <c r="E13" s="3008" t="s">
        <v>3459</v>
      </c>
      <c r="F13" s="3011">
        <v>54.27</v>
      </c>
      <c r="G13" s="3011">
        <v>6.06</v>
      </c>
      <c r="H13" s="3004" t="s">
        <v>1373</v>
      </c>
      <c r="I13" s="3007" t="s">
        <v>3448</v>
      </c>
      <c r="J13" s="3010">
        <f t="shared" si="1"/>
        <v>56156</v>
      </c>
      <c r="K13" s="3007" t="str">
        <f t="shared" si="2"/>
        <v>12层</v>
      </c>
      <c r="L13" s="3007" t="str">
        <f t="shared" si="3"/>
        <v>1层</v>
      </c>
      <c r="N13" s="3002">
        <f t="shared" ca="1" si="0"/>
        <v>568424</v>
      </c>
    </row>
    <row r="14" spans="1:14" ht="24">
      <c r="A14" s="3007">
        <v>11</v>
      </c>
      <c r="B14" s="3007" t="s">
        <v>3070</v>
      </c>
      <c r="C14" s="3004" t="s">
        <v>3449</v>
      </c>
      <c r="D14" s="3004" t="s">
        <v>3460</v>
      </c>
      <c r="E14" s="3008" t="s">
        <v>3461</v>
      </c>
      <c r="F14" s="3011">
        <v>54.24</v>
      </c>
      <c r="G14" s="3011">
        <v>6.05</v>
      </c>
      <c r="H14" s="3004" t="s">
        <v>1373</v>
      </c>
      <c r="I14" s="3007" t="s">
        <v>3448</v>
      </c>
      <c r="J14" s="3010">
        <f t="shared" si="1"/>
        <v>56156</v>
      </c>
      <c r="K14" s="3007" t="str">
        <f t="shared" si="2"/>
        <v>12层</v>
      </c>
      <c r="L14" s="3007" t="str">
        <f t="shared" si="3"/>
        <v>1层</v>
      </c>
      <c r="N14" s="3002">
        <f t="shared" ca="1" si="0"/>
        <v>568110</v>
      </c>
    </row>
    <row r="15" spans="1:14" ht="24">
      <c r="A15" s="3007">
        <v>12</v>
      </c>
      <c r="B15" s="3007" t="s">
        <v>3071</v>
      </c>
      <c r="C15" s="3004" t="s">
        <v>3449</v>
      </c>
      <c r="D15" s="3004" t="s">
        <v>3462</v>
      </c>
      <c r="E15" s="3008" t="s">
        <v>3463</v>
      </c>
      <c r="F15" s="3011">
        <v>74.680000000000007</v>
      </c>
      <c r="G15" s="3011">
        <v>8.33</v>
      </c>
      <c r="H15" s="3004" t="s">
        <v>1373</v>
      </c>
      <c r="I15" s="3007" t="s">
        <v>3448</v>
      </c>
      <c r="J15" s="3010">
        <f t="shared" si="1"/>
        <v>56156</v>
      </c>
      <c r="K15" s="3007" t="str">
        <f t="shared" si="2"/>
        <v>12层</v>
      </c>
      <c r="L15" s="3007" t="str">
        <f t="shared" si="3"/>
        <v>1层</v>
      </c>
      <c r="N15" s="3002">
        <f t="shared" ca="1" si="0"/>
        <v>782198</v>
      </c>
    </row>
    <row r="16" spans="1:14" ht="24">
      <c r="A16" s="3007">
        <v>13</v>
      </c>
      <c r="B16" s="3007" t="s">
        <v>3072</v>
      </c>
      <c r="C16" s="3004" t="s">
        <v>3449</v>
      </c>
      <c r="D16" s="3004" t="s">
        <v>3464</v>
      </c>
      <c r="E16" s="3008" t="s">
        <v>3465</v>
      </c>
      <c r="F16" s="3011">
        <v>74.05</v>
      </c>
      <c r="G16" s="3011">
        <v>8.26</v>
      </c>
      <c r="H16" s="3004" t="s">
        <v>1373</v>
      </c>
      <c r="I16" s="3007" t="s">
        <v>3448</v>
      </c>
      <c r="J16" s="3010">
        <f t="shared" si="1"/>
        <v>56156</v>
      </c>
      <c r="K16" s="3007" t="str">
        <f t="shared" si="2"/>
        <v>12层</v>
      </c>
      <c r="L16" s="3007" t="str">
        <f t="shared" si="3"/>
        <v>1层</v>
      </c>
      <c r="N16" s="3002">
        <f t="shared" ca="1" si="0"/>
        <v>775600</v>
      </c>
    </row>
    <row r="17" spans="1:14" ht="24">
      <c r="A17" s="3007">
        <v>14</v>
      </c>
      <c r="B17" s="3007" t="s">
        <v>3073</v>
      </c>
      <c r="C17" s="3004" t="s">
        <v>3449</v>
      </c>
      <c r="D17" s="3004" t="s">
        <v>3466</v>
      </c>
      <c r="E17" s="3008" t="s">
        <v>3467</v>
      </c>
      <c r="F17" s="3011">
        <v>54.24</v>
      </c>
      <c r="G17" s="3011">
        <v>6.05</v>
      </c>
      <c r="H17" s="3004" t="s">
        <v>1373</v>
      </c>
      <c r="I17" s="3007" t="s">
        <v>3448</v>
      </c>
      <c r="J17" s="3010">
        <f t="shared" si="1"/>
        <v>56156</v>
      </c>
      <c r="K17" s="3007" t="str">
        <f t="shared" si="2"/>
        <v>12层</v>
      </c>
      <c r="L17" s="3007" t="str">
        <f t="shared" si="3"/>
        <v>1层</v>
      </c>
      <c r="N17" s="3002">
        <f t="shared" ca="1" si="0"/>
        <v>568110</v>
      </c>
    </row>
    <row r="18" spans="1:14" ht="24">
      <c r="A18" s="3007">
        <v>15</v>
      </c>
      <c r="B18" s="3007" t="s">
        <v>3074</v>
      </c>
      <c r="C18" s="3004" t="s">
        <v>3449</v>
      </c>
      <c r="D18" s="3004" t="s">
        <v>3468</v>
      </c>
      <c r="E18" s="3008" t="s">
        <v>3469</v>
      </c>
      <c r="F18" s="3011">
        <v>54.27</v>
      </c>
      <c r="G18" s="3011">
        <v>6.06</v>
      </c>
      <c r="H18" s="3004" t="s">
        <v>1373</v>
      </c>
      <c r="I18" s="3007" t="s">
        <v>3448</v>
      </c>
      <c r="J18" s="3010">
        <f t="shared" si="1"/>
        <v>56156</v>
      </c>
      <c r="K18" s="3007" t="str">
        <f t="shared" si="2"/>
        <v>12层</v>
      </c>
      <c r="L18" s="3007" t="str">
        <f t="shared" si="3"/>
        <v>1层</v>
      </c>
      <c r="N18" s="3002">
        <f t="shared" ca="1" si="0"/>
        <v>568424</v>
      </c>
    </row>
    <row r="19" spans="1:14" ht="24">
      <c r="A19" s="3007">
        <v>16</v>
      </c>
      <c r="B19" s="3007" t="s">
        <v>3075</v>
      </c>
      <c r="C19" s="3004" t="s">
        <v>3449</v>
      </c>
      <c r="D19" s="3004" t="s">
        <v>3470</v>
      </c>
      <c r="E19" s="3008" t="s">
        <v>3471</v>
      </c>
      <c r="F19" s="3011">
        <v>53.59</v>
      </c>
      <c r="G19" s="3011">
        <v>5.98</v>
      </c>
      <c r="H19" s="3004" t="s">
        <v>1373</v>
      </c>
      <c r="I19" s="3007" t="s">
        <v>3448</v>
      </c>
      <c r="J19" s="3010">
        <f t="shared" si="1"/>
        <v>56156</v>
      </c>
      <c r="K19" s="3007" t="str">
        <f t="shared" si="2"/>
        <v>12层</v>
      </c>
      <c r="L19" s="3007" t="str">
        <f t="shared" si="3"/>
        <v>1层</v>
      </c>
      <c r="N19" s="3002">
        <f t="shared" ca="1" si="0"/>
        <v>561302</v>
      </c>
    </row>
    <row r="20" spans="1:14" ht="24">
      <c r="A20" s="3007">
        <v>17</v>
      </c>
      <c r="B20" s="3007" t="s">
        <v>3076</v>
      </c>
      <c r="C20" s="3004" t="s">
        <v>3449</v>
      </c>
      <c r="D20" s="3004" t="s">
        <v>3472</v>
      </c>
      <c r="E20" s="3008" t="s">
        <v>3473</v>
      </c>
      <c r="F20" s="3011">
        <v>66.239999999999995</v>
      </c>
      <c r="G20" s="3011">
        <v>7.39</v>
      </c>
      <c r="H20" s="3004" t="s">
        <v>1373</v>
      </c>
      <c r="I20" s="3007" t="s">
        <v>3448</v>
      </c>
      <c r="J20" s="3010">
        <f t="shared" si="1"/>
        <v>56156</v>
      </c>
      <c r="K20" s="3007" t="str">
        <f t="shared" si="2"/>
        <v>12层</v>
      </c>
      <c r="L20" s="3007" t="str">
        <f t="shared" si="3"/>
        <v>1层</v>
      </c>
      <c r="N20" s="3002">
        <f t="shared" ca="1" si="0"/>
        <v>693798</v>
      </c>
    </row>
    <row r="21" spans="1:14" ht="24">
      <c r="A21" s="3007">
        <v>18</v>
      </c>
      <c r="B21" s="3007" t="s">
        <v>3077</v>
      </c>
      <c r="C21" s="3004" t="s">
        <v>3449</v>
      </c>
      <c r="D21" s="3004" t="s">
        <v>3474</v>
      </c>
      <c r="E21" s="3008" t="s">
        <v>3475</v>
      </c>
      <c r="F21" s="3011">
        <v>50.87</v>
      </c>
      <c r="G21" s="3011">
        <v>5.68</v>
      </c>
      <c r="H21" s="3004" t="s">
        <v>1373</v>
      </c>
      <c r="I21" s="3007" t="s">
        <v>3448</v>
      </c>
      <c r="J21" s="3010">
        <f t="shared" si="1"/>
        <v>56156</v>
      </c>
      <c r="K21" s="3007" t="str">
        <f t="shared" si="2"/>
        <v>12层</v>
      </c>
      <c r="L21" s="3007" t="s">
        <v>3476</v>
      </c>
      <c r="N21" s="3002">
        <f t="shared" ca="1" si="0"/>
        <v>532812</v>
      </c>
    </row>
    <row r="22" spans="1:14" ht="24">
      <c r="A22" s="3007">
        <v>19</v>
      </c>
      <c r="B22" s="3007" t="s">
        <v>3078</v>
      </c>
      <c r="C22" s="3004" t="s">
        <v>3477</v>
      </c>
      <c r="D22" s="3004" t="s">
        <v>3478</v>
      </c>
      <c r="E22" s="3008" t="s">
        <v>3479</v>
      </c>
      <c r="F22" s="3011">
        <v>54.01</v>
      </c>
      <c r="G22" s="3011">
        <v>6.03</v>
      </c>
      <c r="H22" s="3004" t="s">
        <v>1373</v>
      </c>
      <c r="I22" s="3007" t="s">
        <v>3440</v>
      </c>
      <c r="J22" s="3010">
        <f t="shared" si="1"/>
        <v>56156</v>
      </c>
      <c r="K22" s="3007" t="str">
        <f t="shared" si="2"/>
        <v>12层</v>
      </c>
      <c r="L22" s="3007" t="str">
        <f>$L$21</f>
        <v>2层</v>
      </c>
      <c r="N22" s="3002">
        <f t="shared" ca="1" si="0"/>
        <v>565701</v>
      </c>
    </row>
    <row r="23" spans="1:14" ht="24">
      <c r="A23" s="3007">
        <v>20</v>
      </c>
      <c r="B23" s="3007" t="s">
        <v>3079</v>
      </c>
      <c r="C23" s="3004" t="s">
        <v>3449</v>
      </c>
      <c r="D23" s="3004" t="s">
        <v>3480</v>
      </c>
      <c r="E23" s="3008" t="s">
        <v>3481</v>
      </c>
      <c r="F23" s="3011">
        <v>52.04</v>
      </c>
      <c r="G23" s="3011">
        <v>5.81</v>
      </c>
      <c r="H23" s="3004" t="s">
        <v>1373</v>
      </c>
      <c r="I23" s="3007" t="s">
        <v>3448</v>
      </c>
      <c r="J23" s="3010">
        <f t="shared" si="1"/>
        <v>56156</v>
      </c>
      <c r="K23" s="3007" t="str">
        <f t="shared" si="2"/>
        <v>12层</v>
      </c>
      <c r="L23" s="3007" t="str">
        <f t="shared" ref="L23:L42" si="4">$L$21</f>
        <v>2层</v>
      </c>
      <c r="N23" s="3002">
        <f t="shared" ca="1" si="0"/>
        <v>545067</v>
      </c>
    </row>
    <row r="24" spans="1:14" ht="24">
      <c r="A24" s="3007">
        <v>21</v>
      </c>
      <c r="B24" s="3007" t="s">
        <v>3080</v>
      </c>
      <c r="C24" s="3004" t="s">
        <v>3431</v>
      </c>
      <c r="D24" s="3004" t="s">
        <v>3482</v>
      </c>
      <c r="E24" s="3008" t="s">
        <v>3483</v>
      </c>
      <c r="F24" s="3011">
        <v>71.069999999999993</v>
      </c>
      <c r="G24" s="3011">
        <v>7.93</v>
      </c>
      <c r="H24" s="3004" t="s">
        <v>1373</v>
      </c>
      <c r="I24" s="3007" t="s">
        <v>3443</v>
      </c>
      <c r="J24" s="3010">
        <f t="shared" si="1"/>
        <v>56156</v>
      </c>
      <c r="K24" s="3007" t="str">
        <f t="shared" si="2"/>
        <v>12层</v>
      </c>
      <c r="L24" s="3007" t="str">
        <f t="shared" si="4"/>
        <v>2层</v>
      </c>
      <c r="N24" s="3002">
        <f t="shared" ca="1" si="0"/>
        <v>744387</v>
      </c>
    </row>
    <row r="25" spans="1:14" ht="24">
      <c r="A25" s="3007">
        <v>22</v>
      </c>
      <c r="B25" s="3007" t="s">
        <v>3081</v>
      </c>
      <c r="C25" s="3004" t="s">
        <v>3431</v>
      </c>
      <c r="D25" s="3004" t="s">
        <v>3484</v>
      </c>
      <c r="E25" s="3008" t="s">
        <v>3485</v>
      </c>
      <c r="F25" s="3011">
        <v>71.489999999999995</v>
      </c>
      <c r="G25" s="3011">
        <v>7.98</v>
      </c>
      <c r="H25" s="3004" t="s">
        <v>1373</v>
      </c>
      <c r="I25" s="3007" t="s">
        <v>3443</v>
      </c>
      <c r="J25" s="3010">
        <f t="shared" si="1"/>
        <v>56156</v>
      </c>
      <c r="K25" s="3007" t="str">
        <f t="shared" si="2"/>
        <v>12层</v>
      </c>
      <c r="L25" s="3007" t="str">
        <f t="shared" si="4"/>
        <v>2层</v>
      </c>
      <c r="N25" s="3002">
        <f t="shared" ca="1" si="0"/>
        <v>748786</v>
      </c>
    </row>
    <row r="26" spans="1:14" ht="24">
      <c r="A26" s="3007">
        <v>23</v>
      </c>
      <c r="B26" s="3007" t="s">
        <v>3082</v>
      </c>
      <c r="C26" s="3004" t="s">
        <v>3431</v>
      </c>
      <c r="D26" s="3004" t="s">
        <v>3486</v>
      </c>
      <c r="E26" s="3008" t="s">
        <v>3487</v>
      </c>
      <c r="F26" s="3011">
        <v>52.23</v>
      </c>
      <c r="G26" s="3011">
        <v>5.83</v>
      </c>
      <c r="H26" s="3004" t="s">
        <v>1373</v>
      </c>
      <c r="I26" s="3007" t="s">
        <v>3443</v>
      </c>
      <c r="J26" s="3010">
        <f t="shared" si="1"/>
        <v>56156</v>
      </c>
      <c r="K26" s="3007" t="str">
        <f t="shared" si="2"/>
        <v>12层</v>
      </c>
      <c r="L26" s="3007" t="str">
        <f t="shared" si="4"/>
        <v>2层</v>
      </c>
      <c r="N26" s="3002">
        <f t="shared" ca="1" si="0"/>
        <v>547057</v>
      </c>
    </row>
    <row r="27" spans="1:14" ht="24">
      <c r="A27" s="3007">
        <v>24</v>
      </c>
      <c r="B27" s="3007" t="s">
        <v>3083</v>
      </c>
      <c r="C27" s="3004" t="s">
        <v>3431</v>
      </c>
      <c r="D27" s="3004" t="s">
        <v>3488</v>
      </c>
      <c r="E27" s="3008" t="s">
        <v>3489</v>
      </c>
      <c r="F27" s="3011">
        <v>52.3</v>
      </c>
      <c r="G27" s="3011">
        <v>5.84</v>
      </c>
      <c r="H27" s="3004" t="s">
        <v>1373</v>
      </c>
      <c r="I27" s="3007" t="s">
        <v>3443</v>
      </c>
      <c r="J27" s="3010">
        <f t="shared" si="1"/>
        <v>56156</v>
      </c>
      <c r="K27" s="3007" t="str">
        <f t="shared" si="2"/>
        <v>12层</v>
      </c>
      <c r="L27" s="3007" t="str">
        <f t="shared" si="4"/>
        <v>2层</v>
      </c>
      <c r="N27" s="3002">
        <f t="shared" ca="1" si="0"/>
        <v>547790</v>
      </c>
    </row>
    <row r="28" spans="1:14" ht="24">
      <c r="A28" s="3007">
        <v>25</v>
      </c>
      <c r="B28" s="3007" t="s">
        <v>3084</v>
      </c>
      <c r="C28" s="3004" t="s">
        <v>3431</v>
      </c>
      <c r="D28" s="3004" t="s">
        <v>3490</v>
      </c>
      <c r="E28" s="3008" t="s">
        <v>3491</v>
      </c>
      <c r="F28" s="3011">
        <v>52.27</v>
      </c>
      <c r="G28" s="3011">
        <v>5.83</v>
      </c>
      <c r="H28" s="3004" t="s">
        <v>1373</v>
      </c>
      <c r="I28" s="3007" t="s">
        <v>3443</v>
      </c>
      <c r="J28" s="3010">
        <f t="shared" si="1"/>
        <v>56156</v>
      </c>
      <c r="K28" s="3007" t="str">
        <f t="shared" si="2"/>
        <v>12层</v>
      </c>
      <c r="L28" s="3007" t="str">
        <f t="shared" si="4"/>
        <v>2层</v>
      </c>
      <c r="N28" s="3002">
        <f t="shared" ca="1" si="0"/>
        <v>547476</v>
      </c>
    </row>
    <row r="29" spans="1:14" ht="24">
      <c r="A29" s="3007">
        <v>26</v>
      </c>
      <c r="B29" s="3007" t="s">
        <v>3085</v>
      </c>
      <c r="C29" s="3004" t="s">
        <v>3431</v>
      </c>
      <c r="D29" s="3004" t="s">
        <v>3492</v>
      </c>
      <c r="E29" s="3008" t="s">
        <v>3493</v>
      </c>
      <c r="F29" s="3011">
        <v>52.94</v>
      </c>
      <c r="G29" s="3011">
        <v>5.91</v>
      </c>
      <c r="H29" s="3004" t="s">
        <v>1373</v>
      </c>
      <c r="I29" s="3007" t="s">
        <v>3443</v>
      </c>
      <c r="J29" s="3010">
        <f t="shared" si="1"/>
        <v>56156</v>
      </c>
      <c r="K29" s="3007" t="str">
        <f t="shared" si="2"/>
        <v>12层</v>
      </c>
      <c r="L29" s="3007" t="str">
        <f t="shared" si="4"/>
        <v>2层</v>
      </c>
      <c r="N29" s="3002">
        <f t="shared" ca="1" si="0"/>
        <v>554494</v>
      </c>
    </row>
    <row r="30" spans="1:14" ht="24">
      <c r="A30" s="3007">
        <v>27</v>
      </c>
      <c r="B30" s="3007" t="s">
        <v>3086</v>
      </c>
      <c r="C30" s="3004" t="s">
        <v>3431</v>
      </c>
      <c r="D30" s="3004" t="s">
        <v>3494</v>
      </c>
      <c r="E30" s="3008" t="s">
        <v>3495</v>
      </c>
      <c r="F30" s="3011">
        <v>60.59</v>
      </c>
      <c r="G30" s="3011">
        <v>6.76</v>
      </c>
      <c r="H30" s="3004" t="s">
        <v>1373</v>
      </c>
      <c r="I30" s="3007" t="s">
        <v>3443</v>
      </c>
      <c r="J30" s="3010">
        <f t="shared" si="1"/>
        <v>56156</v>
      </c>
      <c r="K30" s="3007" t="str">
        <f t="shared" si="2"/>
        <v>12层</v>
      </c>
      <c r="L30" s="3007" t="str">
        <f t="shared" si="4"/>
        <v>2层</v>
      </c>
      <c r="N30" s="3002">
        <f t="shared" ca="1" si="0"/>
        <v>634620</v>
      </c>
    </row>
    <row r="31" spans="1:14" ht="24">
      <c r="A31" s="3007">
        <v>28</v>
      </c>
      <c r="B31" s="3007" t="s">
        <v>3087</v>
      </c>
      <c r="C31" s="3004" t="s">
        <v>3431</v>
      </c>
      <c r="D31" s="3004" t="s">
        <v>3496</v>
      </c>
      <c r="E31" s="3008" t="s">
        <v>3497</v>
      </c>
      <c r="F31" s="3011">
        <v>66.349999999999994</v>
      </c>
      <c r="G31" s="3011">
        <v>7.4</v>
      </c>
      <c r="H31" s="3004" t="s">
        <v>1373</v>
      </c>
      <c r="I31" s="3007" t="s">
        <v>3443</v>
      </c>
      <c r="J31" s="3010">
        <f t="shared" si="1"/>
        <v>56156</v>
      </c>
      <c r="K31" s="3007" t="str">
        <f t="shared" si="2"/>
        <v>12层</v>
      </c>
      <c r="L31" s="3007" t="str">
        <f t="shared" si="4"/>
        <v>2层</v>
      </c>
      <c r="N31" s="3002">
        <f t="shared" ca="1" si="0"/>
        <v>694950</v>
      </c>
    </row>
    <row r="32" spans="1:14" ht="24">
      <c r="A32" s="3007">
        <v>29</v>
      </c>
      <c r="B32" s="3007" t="s">
        <v>3088</v>
      </c>
      <c r="C32" s="3004" t="s">
        <v>3431</v>
      </c>
      <c r="D32" s="3004" t="s">
        <v>3498</v>
      </c>
      <c r="E32" s="3008" t="s">
        <v>3499</v>
      </c>
      <c r="F32" s="3011">
        <v>60.59</v>
      </c>
      <c r="G32" s="3011">
        <v>6.76</v>
      </c>
      <c r="H32" s="3004" t="s">
        <v>1373</v>
      </c>
      <c r="I32" s="3007" t="s">
        <v>3443</v>
      </c>
      <c r="J32" s="3010">
        <f t="shared" si="1"/>
        <v>56156</v>
      </c>
      <c r="K32" s="3007" t="str">
        <f t="shared" si="2"/>
        <v>12层</v>
      </c>
      <c r="L32" s="3007" t="str">
        <f t="shared" si="4"/>
        <v>2层</v>
      </c>
      <c r="N32" s="3002">
        <f t="shared" ca="1" si="0"/>
        <v>634620</v>
      </c>
    </row>
    <row r="33" spans="1:14" ht="24">
      <c r="A33" s="3007">
        <v>30</v>
      </c>
      <c r="B33" s="3007" t="s">
        <v>3089</v>
      </c>
      <c r="C33" s="3004" t="s">
        <v>3431</v>
      </c>
      <c r="D33" s="3004" t="s">
        <v>3500</v>
      </c>
      <c r="E33" s="3008" t="s">
        <v>3501</v>
      </c>
      <c r="F33" s="3011">
        <v>53.01</v>
      </c>
      <c r="G33" s="3011">
        <v>5.92</v>
      </c>
      <c r="H33" s="3004" t="s">
        <v>1373</v>
      </c>
      <c r="I33" s="3007" t="s">
        <v>3443</v>
      </c>
      <c r="J33" s="3010">
        <f t="shared" si="1"/>
        <v>56156</v>
      </c>
      <c r="K33" s="3007" t="str">
        <f t="shared" si="2"/>
        <v>12层</v>
      </c>
      <c r="L33" s="3007" t="str">
        <f t="shared" si="4"/>
        <v>2层</v>
      </c>
      <c r="N33" s="3002">
        <f t="shared" ca="1" si="0"/>
        <v>555227</v>
      </c>
    </row>
    <row r="34" spans="1:14" ht="24">
      <c r="A34" s="3007">
        <v>31</v>
      </c>
      <c r="B34" s="3007" t="s">
        <v>3090</v>
      </c>
      <c r="C34" s="3004" t="s">
        <v>3431</v>
      </c>
      <c r="D34" s="3004" t="s">
        <v>3502</v>
      </c>
      <c r="E34" s="3008" t="s">
        <v>3503</v>
      </c>
      <c r="F34" s="3011">
        <v>52.95</v>
      </c>
      <c r="G34" s="3011">
        <v>5.91</v>
      </c>
      <c r="H34" s="3004" t="s">
        <v>1373</v>
      </c>
      <c r="I34" s="3007" t="s">
        <v>3443</v>
      </c>
      <c r="J34" s="3010">
        <f t="shared" si="1"/>
        <v>56156</v>
      </c>
      <c r="K34" s="3007" t="str">
        <f t="shared" si="2"/>
        <v>12层</v>
      </c>
      <c r="L34" s="3007" t="str">
        <f t="shared" si="4"/>
        <v>2层</v>
      </c>
      <c r="N34" s="3002">
        <f t="shared" ca="1" si="0"/>
        <v>554598</v>
      </c>
    </row>
    <row r="35" spans="1:14" ht="24">
      <c r="A35" s="3007">
        <v>32</v>
      </c>
      <c r="B35" s="3007" t="s">
        <v>3091</v>
      </c>
      <c r="C35" s="3004" t="s">
        <v>3431</v>
      </c>
      <c r="D35" s="3004" t="s">
        <v>3504</v>
      </c>
      <c r="E35" s="3008" t="s">
        <v>3505</v>
      </c>
      <c r="F35" s="3011">
        <v>52.95</v>
      </c>
      <c r="G35" s="3011">
        <v>5.91</v>
      </c>
      <c r="H35" s="3004" t="s">
        <v>1373</v>
      </c>
      <c r="I35" s="3007" t="s">
        <v>3443</v>
      </c>
      <c r="J35" s="3010">
        <f t="shared" si="1"/>
        <v>56156</v>
      </c>
      <c r="K35" s="3007" t="str">
        <f t="shared" si="2"/>
        <v>12层</v>
      </c>
      <c r="L35" s="3007" t="str">
        <f t="shared" si="4"/>
        <v>2层</v>
      </c>
      <c r="N35" s="3002">
        <f t="shared" ca="1" si="0"/>
        <v>554598</v>
      </c>
    </row>
    <row r="36" spans="1:14" ht="24">
      <c r="A36" s="3007">
        <v>33</v>
      </c>
      <c r="B36" s="3007" t="s">
        <v>3092</v>
      </c>
      <c r="C36" s="3004" t="s">
        <v>3431</v>
      </c>
      <c r="D36" s="3004" t="s">
        <v>3506</v>
      </c>
      <c r="E36" s="3008" t="s">
        <v>3507</v>
      </c>
      <c r="F36" s="3011">
        <v>52.92</v>
      </c>
      <c r="G36" s="3011">
        <v>5.91</v>
      </c>
      <c r="H36" s="3004" t="s">
        <v>1373</v>
      </c>
      <c r="I36" s="3007" t="s">
        <v>3443</v>
      </c>
      <c r="J36" s="3010">
        <f t="shared" si="1"/>
        <v>56156</v>
      </c>
      <c r="K36" s="3007" t="str">
        <f t="shared" si="2"/>
        <v>12层</v>
      </c>
      <c r="L36" s="3007" t="str">
        <f t="shared" si="4"/>
        <v>2层</v>
      </c>
      <c r="N36" s="3002">
        <f t="shared" ca="1" si="0"/>
        <v>554284</v>
      </c>
    </row>
    <row r="37" spans="1:14" ht="24">
      <c r="A37" s="3007">
        <v>34</v>
      </c>
      <c r="B37" s="3007" t="s">
        <v>3093</v>
      </c>
      <c r="C37" s="3004" t="s">
        <v>3431</v>
      </c>
      <c r="D37" s="3004" t="s">
        <v>3508</v>
      </c>
      <c r="E37" s="3008" t="s">
        <v>3509</v>
      </c>
      <c r="F37" s="3011">
        <v>72.87</v>
      </c>
      <c r="G37" s="3011">
        <v>8.1300000000000008</v>
      </c>
      <c r="H37" s="3004" t="s">
        <v>1373</v>
      </c>
      <c r="I37" s="3007" t="s">
        <v>3443</v>
      </c>
      <c r="J37" s="3010">
        <f t="shared" si="1"/>
        <v>56156</v>
      </c>
      <c r="K37" s="3007" t="str">
        <f t="shared" si="2"/>
        <v>12层</v>
      </c>
      <c r="L37" s="3007" t="str">
        <f t="shared" si="4"/>
        <v>2层</v>
      </c>
      <c r="N37" s="3002">
        <f t="shared" ca="1" si="0"/>
        <v>763240</v>
      </c>
    </row>
    <row r="38" spans="1:14" ht="24">
      <c r="A38" s="3007">
        <v>35</v>
      </c>
      <c r="B38" s="3007" t="s">
        <v>3094</v>
      </c>
      <c r="C38" s="3004" t="s">
        <v>3431</v>
      </c>
      <c r="D38" s="3004" t="s">
        <v>3510</v>
      </c>
      <c r="E38" s="3008" t="s">
        <v>3511</v>
      </c>
      <c r="F38" s="3011">
        <v>72.239999999999995</v>
      </c>
      <c r="G38" s="3011">
        <v>8.06</v>
      </c>
      <c r="H38" s="3004" t="s">
        <v>1373</v>
      </c>
      <c r="I38" s="3007" t="s">
        <v>3443</v>
      </c>
      <c r="J38" s="3010">
        <f t="shared" si="1"/>
        <v>56156</v>
      </c>
      <c r="K38" s="3007" t="str">
        <f t="shared" si="2"/>
        <v>12层</v>
      </c>
      <c r="L38" s="3007" t="str">
        <f t="shared" si="4"/>
        <v>2层</v>
      </c>
      <c r="N38" s="3002">
        <f t="shared" ca="1" si="0"/>
        <v>756642</v>
      </c>
    </row>
    <row r="39" spans="1:14" ht="24">
      <c r="A39" s="3007">
        <v>36</v>
      </c>
      <c r="B39" s="3007" t="s">
        <v>3095</v>
      </c>
      <c r="C39" s="3004" t="s">
        <v>3431</v>
      </c>
      <c r="D39" s="3004" t="s">
        <v>3512</v>
      </c>
      <c r="E39" s="3008" t="s">
        <v>3513</v>
      </c>
      <c r="F39" s="3011">
        <v>52.92</v>
      </c>
      <c r="G39" s="3011">
        <v>5.91</v>
      </c>
      <c r="H39" s="3004" t="s">
        <v>1373</v>
      </c>
      <c r="I39" s="3007" t="s">
        <v>3443</v>
      </c>
      <c r="J39" s="3010">
        <f t="shared" si="1"/>
        <v>56156</v>
      </c>
      <c r="K39" s="3007" t="str">
        <f t="shared" si="2"/>
        <v>12层</v>
      </c>
      <c r="L39" s="3007" t="str">
        <f t="shared" si="4"/>
        <v>2层</v>
      </c>
      <c r="N39" s="3002">
        <f t="shared" ca="1" si="0"/>
        <v>554284</v>
      </c>
    </row>
    <row r="40" spans="1:14" ht="24">
      <c r="A40" s="3007">
        <v>37</v>
      </c>
      <c r="B40" s="3007" t="s">
        <v>3096</v>
      </c>
      <c r="C40" s="3004" t="s">
        <v>3431</v>
      </c>
      <c r="D40" s="3004" t="s">
        <v>3514</v>
      </c>
      <c r="E40" s="3008" t="s">
        <v>3515</v>
      </c>
      <c r="F40" s="3011">
        <v>52.95</v>
      </c>
      <c r="G40" s="3011">
        <v>5.91</v>
      </c>
      <c r="H40" s="3004" t="s">
        <v>1373</v>
      </c>
      <c r="I40" s="3007" t="s">
        <v>3443</v>
      </c>
      <c r="J40" s="3010">
        <f t="shared" si="1"/>
        <v>56156</v>
      </c>
      <c r="K40" s="3007" t="str">
        <f t="shared" si="2"/>
        <v>12层</v>
      </c>
      <c r="L40" s="3007" t="str">
        <f t="shared" si="4"/>
        <v>2层</v>
      </c>
      <c r="N40" s="3002">
        <f t="shared" ca="1" si="0"/>
        <v>554598</v>
      </c>
    </row>
    <row r="41" spans="1:14" ht="24">
      <c r="A41" s="3007">
        <v>38</v>
      </c>
      <c r="B41" s="3007" t="s">
        <v>3097</v>
      </c>
      <c r="C41" s="3004" t="s">
        <v>3431</v>
      </c>
      <c r="D41" s="3004" t="s">
        <v>3516</v>
      </c>
      <c r="E41" s="3008" t="s">
        <v>3517</v>
      </c>
      <c r="F41" s="3011">
        <v>52.29</v>
      </c>
      <c r="G41" s="3011">
        <v>5.84</v>
      </c>
      <c r="H41" s="3004" t="s">
        <v>1373</v>
      </c>
      <c r="I41" s="3007" t="s">
        <v>3443</v>
      </c>
      <c r="J41" s="3010">
        <f t="shared" si="1"/>
        <v>56156</v>
      </c>
      <c r="K41" s="3007" t="str">
        <f t="shared" si="2"/>
        <v>12层</v>
      </c>
      <c r="L41" s="3007" t="str">
        <f t="shared" si="4"/>
        <v>2层</v>
      </c>
      <c r="N41" s="3002">
        <f t="shared" ca="1" si="0"/>
        <v>547685</v>
      </c>
    </row>
    <row r="42" spans="1:14" ht="24">
      <c r="A42" s="3007">
        <v>39</v>
      </c>
      <c r="B42" s="3007" t="s">
        <v>3098</v>
      </c>
      <c r="C42" s="3004" t="s">
        <v>3431</v>
      </c>
      <c r="D42" s="3004" t="s">
        <v>3518</v>
      </c>
      <c r="E42" s="3008" t="s">
        <v>3519</v>
      </c>
      <c r="F42" s="3011">
        <v>64.63</v>
      </c>
      <c r="G42" s="3011">
        <v>7.21</v>
      </c>
      <c r="H42" s="3004" t="s">
        <v>1373</v>
      </c>
      <c r="I42" s="3007" t="s">
        <v>3443</v>
      </c>
      <c r="J42" s="3010">
        <f t="shared" si="1"/>
        <v>56156</v>
      </c>
      <c r="K42" s="3007" t="str">
        <f t="shared" si="2"/>
        <v>12层</v>
      </c>
      <c r="L42" s="3007" t="str">
        <f t="shared" si="4"/>
        <v>2层</v>
      </c>
      <c r="N42" s="3002">
        <f t="shared" ca="1" si="0"/>
        <v>676935</v>
      </c>
    </row>
    <row r="43" spans="1:14" ht="24">
      <c r="A43" s="3007">
        <v>40</v>
      </c>
      <c r="B43" s="3007" t="s">
        <v>3099</v>
      </c>
      <c r="C43" s="3004" t="s">
        <v>3431</v>
      </c>
      <c r="D43" s="3007" t="s">
        <v>3520</v>
      </c>
      <c r="E43" s="3008" t="s">
        <v>3521</v>
      </c>
      <c r="F43" s="3011">
        <v>50.87</v>
      </c>
      <c r="G43" s="3011">
        <v>5.68</v>
      </c>
      <c r="H43" s="3004" t="s">
        <v>1373</v>
      </c>
      <c r="I43" s="3007" t="s">
        <v>3443</v>
      </c>
      <c r="J43" s="3010">
        <f t="shared" si="1"/>
        <v>56156</v>
      </c>
      <c r="K43" s="3007" t="str">
        <f t="shared" si="2"/>
        <v>12层</v>
      </c>
      <c r="L43" s="3007" t="s">
        <v>3522</v>
      </c>
      <c r="N43" s="3002">
        <f t="shared" ca="1" si="0"/>
        <v>532812</v>
      </c>
    </row>
    <row r="44" spans="1:14" ht="24">
      <c r="A44" s="3007">
        <v>41</v>
      </c>
      <c r="B44" s="3007" t="s">
        <v>3100</v>
      </c>
      <c r="C44" s="3004" t="s">
        <v>3431</v>
      </c>
      <c r="D44" s="3007" t="s">
        <v>3523</v>
      </c>
      <c r="E44" s="3008" t="s">
        <v>3524</v>
      </c>
      <c r="F44" s="3011">
        <v>54.01</v>
      </c>
      <c r="G44" s="3011">
        <v>6.03</v>
      </c>
      <c r="H44" s="3004" t="s">
        <v>1373</v>
      </c>
      <c r="I44" s="3007" t="s">
        <v>3443</v>
      </c>
      <c r="J44" s="3010">
        <f t="shared" si="1"/>
        <v>56156</v>
      </c>
      <c r="K44" s="3007" t="str">
        <f t="shared" si="2"/>
        <v>12层</v>
      </c>
      <c r="L44" s="3007" t="str">
        <f>$L$43</f>
        <v>3层</v>
      </c>
      <c r="N44" s="3002">
        <f t="shared" ca="1" si="0"/>
        <v>565701</v>
      </c>
    </row>
    <row r="45" spans="1:14" ht="24">
      <c r="A45" s="3007">
        <v>42</v>
      </c>
      <c r="B45" s="3007" t="s">
        <v>3101</v>
      </c>
      <c r="C45" s="3004" t="s">
        <v>3431</v>
      </c>
      <c r="D45" s="3007" t="s">
        <v>3525</v>
      </c>
      <c r="E45" s="3008" t="s">
        <v>3526</v>
      </c>
      <c r="F45" s="3011">
        <v>52.04</v>
      </c>
      <c r="G45" s="3011">
        <v>5.81</v>
      </c>
      <c r="H45" s="3004" t="s">
        <v>1373</v>
      </c>
      <c r="I45" s="3007" t="s">
        <v>3443</v>
      </c>
      <c r="J45" s="3010">
        <f t="shared" si="1"/>
        <v>56156</v>
      </c>
      <c r="K45" s="3007" t="str">
        <f t="shared" si="2"/>
        <v>12层</v>
      </c>
      <c r="L45" s="3007" t="str">
        <f t="shared" ref="L45:L64" si="5">$L$43</f>
        <v>3层</v>
      </c>
      <c r="N45" s="3002">
        <f t="shared" ca="1" si="0"/>
        <v>545067</v>
      </c>
    </row>
    <row r="46" spans="1:14" ht="24">
      <c r="A46" s="3007">
        <v>43</v>
      </c>
      <c r="B46" s="3007" t="s">
        <v>3102</v>
      </c>
      <c r="C46" s="3004" t="s">
        <v>3527</v>
      </c>
      <c r="D46" s="3007" t="s">
        <v>3528</v>
      </c>
      <c r="E46" s="3008" t="s">
        <v>3529</v>
      </c>
      <c r="F46" s="3011">
        <v>71.069999999999993</v>
      </c>
      <c r="G46" s="3011">
        <v>7.93</v>
      </c>
      <c r="H46" s="3004" t="s">
        <v>1373</v>
      </c>
      <c r="I46" s="3007" t="s">
        <v>3530</v>
      </c>
      <c r="J46" s="3010">
        <f t="shared" si="1"/>
        <v>56156</v>
      </c>
      <c r="K46" s="3007" t="str">
        <f t="shared" si="2"/>
        <v>12层</v>
      </c>
      <c r="L46" s="3007" t="str">
        <f t="shared" si="5"/>
        <v>3层</v>
      </c>
      <c r="N46" s="3002">
        <f t="shared" ca="1" si="0"/>
        <v>744387</v>
      </c>
    </row>
    <row r="47" spans="1:14" ht="24">
      <c r="A47" s="3007">
        <v>44</v>
      </c>
      <c r="B47" s="3007" t="s">
        <v>3103</v>
      </c>
      <c r="C47" s="3004" t="s">
        <v>3527</v>
      </c>
      <c r="D47" s="3007" t="s">
        <v>3531</v>
      </c>
      <c r="E47" s="3008" t="s">
        <v>3532</v>
      </c>
      <c r="F47" s="3011">
        <v>71.489999999999995</v>
      </c>
      <c r="G47" s="3011">
        <v>7.98</v>
      </c>
      <c r="H47" s="3004" t="s">
        <v>1373</v>
      </c>
      <c r="I47" s="3007" t="s">
        <v>3530</v>
      </c>
      <c r="J47" s="3010">
        <f t="shared" si="1"/>
        <v>56156</v>
      </c>
      <c r="K47" s="3007" t="str">
        <f t="shared" si="2"/>
        <v>12层</v>
      </c>
      <c r="L47" s="3007" t="str">
        <f t="shared" si="5"/>
        <v>3层</v>
      </c>
      <c r="N47" s="3002">
        <f t="shared" ca="1" si="0"/>
        <v>748786</v>
      </c>
    </row>
    <row r="48" spans="1:14" ht="24">
      <c r="A48" s="3007">
        <v>45</v>
      </c>
      <c r="B48" s="3007" t="s">
        <v>3104</v>
      </c>
      <c r="C48" s="3004" t="s">
        <v>3527</v>
      </c>
      <c r="D48" s="3007" t="s">
        <v>3533</v>
      </c>
      <c r="E48" s="3008" t="s">
        <v>3534</v>
      </c>
      <c r="F48" s="3011">
        <v>52.23</v>
      </c>
      <c r="G48" s="3011">
        <v>5.83</v>
      </c>
      <c r="H48" s="3004" t="s">
        <v>1373</v>
      </c>
      <c r="I48" s="3007" t="s">
        <v>3530</v>
      </c>
      <c r="J48" s="3010">
        <f t="shared" si="1"/>
        <v>56156</v>
      </c>
      <c r="K48" s="3007" t="str">
        <f t="shared" si="2"/>
        <v>12层</v>
      </c>
      <c r="L48" s="3007" t="str">
        <f t="shared" si="5"/>
        <v>3层</v>
      </c>
      <c r="N48" s="3002">
        <f t="shared" ca="1" si="0"/>
        <v>547057</v>
      </c>
    </row>
    <row r="49" spans="1:14" ht="24">
      <c r="A49" s="3007">
        <v>46</v>
      </c>
      <c r="B49" s="3007" t="s">
        <v>3105</v>
      </c>
      <c r="C49" s="3004" t="s">
        <v>3527</v>
      </c>
      <c r="D49" s="3007" t="s">
        <v>3535</v>
      </c>
      <c r="E49" s="3008" t="s">
        <v>3536</v>
      </c>
      <c r="F49" s="3011">
        <v>52.3</v>
      </c>
      <c r="G49" s="3011">
        <v>5.84</v>
      </c>
      <c r="H49" s="3004" t="s">
        <v>1373</v>
      </c>
      <c r="I49" s="3007" t="s">
        <v>3443</v>
      </c>
      <c r="J49" s="3010">
        <f t="shared" si="1"/>
        <v>56156</v>
      </c>
      <c r="K49" s="3007" t="str">
        <f t="shared" si="2"/>
        <v>12层</v>
      </c>
      <c r="L49" s="3007" t="str">
        <f t="shared" si="5"/>
        <v>3层</v>
      </c>
      <c r="N49" s="3002">
        <f t="shared" ca="1" si="0"/>
        <v>547790</v>
      </c>
    </row>
    <row r="50" spans="1:14" ht="24">
      <c r="A50" s="3007">
        <v>47</v>
      </c>
      <c r="B50" s="3007" t="s">
        <v>3106</v>
      </c>
      <c r="C50" s="3004" t="s">
        <v>3431</v>
      </c>
      <c r="D50" s="3007" t="s">
        <v>3537</v>
      </c>
      <c r="E50" s="3008" t="s">
        <v>3538</v>
      </c>
      <c r="F50" s="3011">
        <v>52.27</v>
      </c>
      <c r="G50" s="3011">
        <v>5.83</v>
      </c>
      <c r="H50" s="3004" t="s">
        <v>1373</v>
      </c>
      <c r="I50" s="3007" t="s">
        <v>3443</v>
      </c>
      <c r="J50" s="3010">
        <f t="shared" si="1"/>
        <v>56156</v>
      </c>
      <c r="K50" s="3007" t="str">
        <f t="shared" si="2"/>
        <v>12层</v>
      </c>
      <c r="L50" s="3007" t="str">
        <f t="shared" si="5"/>
        <v>3层</v>
      </c>
      <c r="N50" s="3002">
        <f t="shared" ca="1" si="0"/>
        <v>547476</v>
      </c>
    </row>
    <row r="51" spans="1:14" ht="24">
      <c r="A51" s="3007">
        <v>48</v>
      </c>
      <c r="B51" s="3007" t="s">
        <v>3107</v>
      </c>
      <c r="C51" s="3004" t="s">
        <v>3431</v>
      </c>
      <c r="D51" s="3007" t="s">
        <v>3539</v>
      </c>
      <c r="E51" s="3008" t="s">
        <v>3540</v>
      </c>
      <c r="F51" s="3011">
        <v>52.94</v>
      </c>
      <c r="G51" s="3011">
        <v>5.91</v>
      </c>
      <c r="H51" s="3004" t="s">
        <v>1373</v>
      </c>
      <c r="I51" s="3007" t="s">
        <v>3443</v>
      </c>
      <c r="J51" s="3010">
        <f t="shared" si="1"/>
        <v>56156</v>
      </c>
      <c r="K51" s="3007" t="str">
        <f t="shared" si="2"/>
        <v>12层</v>
      </c>
      <c r="L51" s="3007" t="str">
        <f t="shared" si="5"/>
        <v>3层</v>
      </c>
      <c r="N51" s="3002">
        <f t="shared" ca="1" si="0"/>
        <v>554494</v>
      </c>
    </row>
    <row r="52" spans="1:14" ht="24">
      <c r="A52" s="3007">
        <v>49</v>
      </c>
      <c r="B52" s="3007" t="s">
        <v>3108</v>
      </c>
      <c r="C52" s="3004" t="s">
        <v>3431</v>
      </c>
      <c r="D52" s="3007" t="s">
        <v>3541</v>
      </c>
      <c r="E52" s="3008" t="s">
        <v>3542</v>
      </c>
      <c r="F52" s="3011">
        <v>61.19</v>
      </c>
      <c r="G52" s="3011">
        <v>6.83</v>
      </c>
      <c r="H52" s="3004" t="s">
        <v>1373</v>
      </c>
      <c r="I52" s="3007" t="s">
        <v>3443</v>
      </c>
      <c r="J52" s="3010">
        <f t="shared" si="1"/>
        <v>56156</v>
      </c>
      <c r="K52" s="3007" t="str">
        <f t="shared" si="2"/>
        <v>12层</v>
      </c>
      <c r="L52" s="3007" t="str">
        <f t="shared" si="5"/>
        <v>3层</v>
      </c>
      <c r="N52" s="3002">
        <f t="shared" ca="1" si="0"/>
        <v>640904</v>
      </c>
    </row>
    <row r="53" spans="1:14" ht="24">
      <c r="A53" s="3007">
        <v>50</v>
      </c>
      <c r="B53" s="3007" t="s">
        <v>3109</v>
      </c>
      <c r="C53" s="3004" t="s">
        <v>3431</v>
      </c>
      <c r="D53" s="3007" t="s">
        <v>3543</v>
      </c>
      <c r="E53" s="3008" t="s">
        <v>3544</v>
      </c>
      <c r="F53" s="3011">
        <v>65.760000000000005</v>
      </c>
      <c r="G53" s="3011">
        <v>7.34</v>
      </c>
      <c r="H53" s="3004" t="s">
        <v>1373</v>
      </c>
      <c r="I53" s="3007" t="s">
        <v>3443</v>
      </c>
      <c r="J53" s="3010">
        <f t="shared" si="1"/>
        <v>56156</v>
      </c>
      <c r="K53" s="3007" t="str">
        <f t="shared" si="2"/>
        <v>12层</v>
      </c>
      <c r="L53" s="3007" t="str">
        <f t="shared" si="5"/>
        <v>3层</v>
      </c>
      <c r="N53" s="3002">
        <f t="shared" ca="1" si="0"/>
        <v>688770</v>
      </c>
    </row>
    <row r="54" spans="1:14" ht="24">
      <c r="A54" s="3007">
        <v>51</v>
      </c>
      <c r="B54" s="3007" t="s">
        <v>3110</v>
      </c>
      <c r="C54" s="3004" t="s">
        <v>3431</v>
      </c>
      <c r="D54" s="3007" t="s">
        <v>3545</v>
      </c>
      <c r="E54" s="3008" t="s">
        <v>3546</v>
      </c>
      <c r="F54" s="3011">
        <v>60.59</v>
      </c>
      <c r="G54" s="3011">
        <v>6.76</v>
      </c>
      <c r="H54" s="3004" t="s">
        <v>1373</v>
      </c>
      <c r="I54" s="3007" t="s">
        <v>3443</v>
      </c>
      <c r="J54" s="3010">
        <f t="shared" si="1"/>
        <v>56156</v>
      </c>
      <c r="K54" s="3007" t="str">
        <f t="shared" si="2"/>
        <v>12层</v>
      </c>
      <c r="L54" s="3007" t="str">
        <f t="shared" si="5"/>
        <v>3层</v>
      </c>
      <c r="N54" s="3002">
        <f t="shared" ca="1" si="0"/>
        <v>634620</v>
      </c>
    </row>
    <row r="55" spans="1:14" ht="24">
      <c r="A55" s="3007">
        <v>52</v>
      </c>
      <c r="B55" s="3007" t="s">
        <v>3111</v>
      </c>
      <c r="C55" s="3004" t="s">
        <v>3431</v>
      </c>
      <c r="D55" s="3007" t="s">
        <v>3547</v>
      </c>
      <c r="E55" s="3008" t="s">
        <v>3548</v>
      </c>
      <c r="F55" s="3011">
        <v>53.01</v>
      </c>
      <c r="G55" s="3011">
        <v>5.92</v>
      </c>
      <c r="H55" s="3004" t="s">
        <v>1373</v>
      </c>
      <c r="I55" s="3007" t="s">
        <v>3443</v>
      </c>
      <c r="J55" s="3010">
        <f t="shared" si="1"/>
        <v>56156</v>
      </c>
      <c r="K55" s="3007" t="str">
        <f t="shared" si="2"/>
        <v>12层</v>
      </c>
      <c r="L55" s="3007" t="str">
        <f t="shared" si="5"/>
        <v>3层</v>
      </c>
      <c r="N55" s="3002">
        <f t="shared" ca="1" si="0"/>
        <v>555227</v>
      </c>
    </row>
    <row r="56" spans="1:14" ht="24">
      <c r="A56" s="3007">
        <v>53</v>
      </c>
      <c r="B56" s="3007" t="s">
        <v>3112</v>
      </c>
      <c r="C56" s="3004" t="s">
        <v>3431</v>
      </c>
      <c r="D56" s="3007" t="s">
        <v>3549</v>
      </c>
      <c r="E56" s="3008" t="s">
        <v>3550</v>
      </c>
      <c r="F56" s="3011">
        <v>52.95</v>
      </c>
      <c r="G56" s="3011">
        <v>5.91</v>
      </c>
      <c r="H56" s="3004" t="s">
        <v>1373</v>
      </c>
      <c r="I56" s="3007" t="s">
        <v>3440</v>
      </c>
      <c r="J56" s="3010">
        <f t="shared" si="1"/>
        <v>56156</v>
      </c>
      <c r="K56" s="3007" t="str">
        <f t="shared" si="2"/>
        <v>12层</v>
      </c>
      <c r="L56" s="3007" t="str">
        <f t="shared" si="5"/>
        <v>3层</v>
      </c>
      <c r="N56" s="3002">
        <f t="shared" ca="1" si="0"/>
        <v>554598</v>
      </c>
    </row>
    <row r="57" spans="1:14" ht="24">
      <c r="A57" s="3007">
        <v>54</v>
      </c>
      <c r="B57" s="3007" t="s">
        <v>3113</v>
      </c>
      <c r="C57" s="3004" t="s">
        <v>3477</v>
      </c>
      <c r="D57" s="3007" t="s">
        <v>3551</v>
      </c>
      <c r="E57" s="3008" t="s">
        <v>3552</v>
      </c>
      <c r="F57" s="3011">
        <v>52.95</v>
      </c>
      <c r="G57" s="3011">
        <v>5.91</v>
      </c>
      <c r="H57" s="3004" t="s">
        <v>1373</v>
      </c>
      <c r="I57" s="3007" t="s">
        <v>3440</v>
      </c>
      <c r="J57" s="3010">
        <f t="shared" si="1"/>
        <v>56156</v>
      </c>
      <c r="K57" s="3007" t="str">
        <f t="shared" si="2"/>
        <v>12层</v>
      </c>
      <c r="L57" s="3007" t="str">
        <f t="shared" si="5"/>
        <v>3层</v>
      </c>
      <c r="N57" s="3002">
        <f t="shared" ca="1" si="0"/>
        <v>554598</v>
      </c>
    </row>
    <row r="58" spans="1:14" ht="24">
      <c r="A58" s="3007">
        <v>55</v>
      </c>
      <c r="B58" s="3007" t="s">
        <v>3114</v>
      </c>
      <c r="C58" s="3004" t="s">
        <v>3477</v>
      </c>
      <c r="D58" s="3007" t="s">
        <v>3553</v>
      </c>
      <c r="E58" s="3008" t="s">
        <v>3554</v>
      </c>
      <c r="F58" s="3011">
        <v>52.92</v>
      </c>
      <c r="G58" s="3011">
        <v>5.91</v>
      </c>
      <c r="H58" s="3004" t="s">
        <v>1373</v>
      </c>
      <c r="I58" s="3007" t="s">
        <v>3440</v>
      </c>
      <c r="J58" s="3010">
        <f t="shared" si="1"/>
        <v>56156</v>
      </c>
      <c r="K58" s="3007" t="str">
        <f t="shared" si="2"/>
        <v>12层</v>
      </c>
      <c r="L58" s="3007" t="str">
        <f t="shared" si="5"/>
        <v>3层</v>
      </c>
      <c r="N58" s="3002">
        <f t="shared" ca="1" si="0"/>
        <v>554284</v>
      </c>
    </row>
    <row r="59" spans="1:14" ht="24">
      <c r="A59" s="3007">
        <v>56</v>
      </c>
      <c r="B59" s="3007" t="s">
        <v>3115</v>
      </c>
      <c r="C59" s="3004" t="s">
        <v>3477</v>
      </c>
      <c r="D59" s="3007" t="s">
        <v>3555</v>
      </c>
      <c r="E59" s="3008" t="s">
        <v>3556</v>
      </c>
      <c r="F59" s="3011">
        <v>72.87</v>
      </c>
      <c r="G59" s="3011">
        <v>8.1300000000000008</v>
      </c>
      <c r="H59" s="3004" t="s">
        <v>1373</v>
      </c>
      <c r="I59" s="3007" t="s">
        <v>3440</v>
      </c>
      <c r="J59" s="3010">
        <f t="shared" si="1"/>
        <v>56156</v>
      </c>
      <c r="K59" s="3007" t="str">
        <f t="shared" si="2"/>
        <v>12层</v>
      </c>
      <c r="L59" s="3007" t="str">
        <f t="shared" si="5"/>
        <v>3层</v>
      </c>
      <c r="N59" s="3002">
        <f t="shared" ca="1" si="0"/>
        <v>763240</v>
      </c>
    </row>
    <row r="60" spans="1:14" ht="24">
      <c r="A60" s="3007">
        <v>57</v>
      </c>
      <c r="B60" s="3007" t="s">
        <v>3116</v>
      </c>
      <c r="C60" s="3004" t="s">
        <v>3477</v>
      </c>
      <c r="D60" s="3007" t="s">
        <v>3557</v>
      </c>
      <c r="E60" s="3008" t="s">
        <v>3558</v>
      </c>
      <c r="F60" s="3011">
        <v>72.239999999999995</v>
      </c>
      <c r="G60" s="3011">
        <v>8.06</v>
      </c>
      <c r="H60" s="3004" t="s">
        <v>1373</v>
      </c>
      <c r="I60" s="3007" t="s">
        <v>3440</v>
      </c>
      <c r="J60" s="3010">
        <f t="shared" si="1"/>
        <v>56156</v>
      </c>
      <c r="K60" s="3007" t="str">
        <f t="shared" si="2"/>
        <v>12层</v>
      </c>
      <c r="L60" s="3007" t="str">
        <f t="shared" si="5"/>
        <v>3层</v>
      </c>
      <c r="N60" s="3002">
        <f t="shared" ca="1" si="0"/>
        <v>756642</v>
      </c>
    </row>
    <row r="61" spans="1:14" ht="24">
      <c r="A61" s="3007">
        <v>58</v>
      </c>
      <c r="B61" s="3007" t="s">
        <v>3117</v>
      </c>
      <c r="C61" s="3004" t="s">
        <v>3477</v>
      </c>
      <c r="D61" s="3007" t="s">
        <v>3559</v>
      </c>
      <c r="E61" s="3008" t="s">
        <v>3560</v>
      </c>
      <c r="F61" s="3011">
        <v>52.92</v>
      </c>
      <c r="G61" s="3011">
        <v>5.91</v>
      </c>
      <c r="H61" s="3004" t="s">
        <v>1373</v>
      </c>
      <c r="I61" s="3007" t="s">
        <v>3440</v>
      </c>
      <c r="J61" s="3010">
        <f t="shared" si="1"/>
        <v>56156</v>
      </c>
      <c r="K61" s="3007" t="str">
        <f t="shared" si="2"/>
        <v>12层</v>
      </c>
      <c r="L61" s="3007" t="str">
        <f t="shared" si="5"/>
        <v>3层</v>
      </c>
      <c r="N61" s="3002">
        <f t="shared" ca="1" si="0"/>
        <v>554284</v>
      </c>
    </row>
    <row r="62" spans="1:14" ht="24">
      <c r="A62" s="3007">
        <v>59</v>
      </c>
      <c r="B62" s="3007" t="s">
        <v>3118</v>
      </c>
      <c r="C62" s="3004" t="s">
        <v>3477</v>
      </c>
      <c r="D62" s="3007" t="s">
        <v>3561</v>
      </c>
      <c r="E62" s="3008" t="s">
        <v>3562</v>
      </c>
      <c r="F62" s="3011">
        <v>52.95</v>
      </c>
      <c r="G62" s="3011">
        <v>5.91</v>
      </c>
      <c r="H62" s="3004" t="s">
        <v>1373</v>
      </c>
      <c r="I62" s="3007" t="s">
        <v>3563</v>
      </c>
      <c r="J62" s="3010">
        <f t="shared" si="1"/>
        <v>56156</v>
      </c>
      <c r="K62" s="3007" t="str">
        <f t="shared" si="2"/>
        <v>12层</v>
      </c>
      <c r="L62" s="3007" t="str">
        <f t="shared" si="5"/>
        <v>3层</v>
      </c>
      <c r="N62" s="3002">
        <f t="shared" ca="1" si="0"/>
        <v>554598</v>
      </c>
    </row>
    <row r="63" spans="1:14" ht="24">
      <c r="A63" s="3007">
        <v>60</v>
      </c>
      <c r="B63" s="3007" t="s">
        <v>3119</v>
      </c>
      <c r="C63" s="3004" t="s">
        <v>3564</v>
      </c>
      <c r="D63" s="3007" t="s">
        <v>3565</v>
      </c>
      <c r="E63" s="3008" t="s">
        <v>3566</v>
      </c>
      <c r="F63" s="3011">
        <v>52.29</v>
      </c>
      <c r="G63" s="3011">
        <v>5.84</v>
      </c>
      <c r="H63" s="3004" t="s">
        <v>1373</v>
      </c>
      <c r="I63" s="3007" t="s">
        <v>3563</v>
      </c>
      <c r="J63" s="3010">
        <f t="shared" si="1"/>
        <v>56156</v>
      </c>
      <c r="K63" s="3007" t="str">
        <f t="shared" si="2"/>
        <v>12层</v>
      </c>
      <c r="L63" s="3007" t="str">
        <f t="shared" si="5"/>
        <v>3层</v>
      </c>
      <c r="N63" s="3002">
        <f t="shared" ca="1" si="0"/>
        <v>547685</v>
      </c>
    </row>
    <row r="64" spans="1:14" ht="24">
      <c r="A64" s="3007">
        <v>61</v>
      </c>
      <c r="B64" s="3007" t="s">
        <v>3120</v>
      </c>
      <c r="C64" s="3004" t="s">
        <v>3564</v>
      </c>
      <c r="D64" s="3007" t="s">
        <v>3567</v>
      </c>
      <c r="E64" s="3008" t="s">
        <v>3568</v>
      </c>
      <c r="F64" s="3011">
        <v>64.63</v>
      </c>
      <c r="G64" s="3011">
        <v>7.21</v>
      </c>
      <c r="H64" s="3004" t="s">
        <v>1373</v>
      </c>
      <c r="I64" s="3007" t="s">
        <v>3563</v>
      </c>
      <c r="J64" s="3010">
        <f t="shared" si="1"/>
        <v>56156</v>
      </c>
      <c r="K64" s="3007" t="str">
        <f t="shared" si="2"/>
        <v>12层</v>
      </c>
      <c r="L64" s="3007" t="str">
        <f t="shared" si="5"/>
        <v>3层</v>
      </c>
      <c r="N64" s="3002">
        <f t="shared" ca="1" si="0"/>
        <v>676935</v>
      </c>
    </row>
    <row r="65" spans="1:14" ht="24">
      <c r="A65" s="3007">
        <v>62</v>
      </c>
      <c r="B65" s="3007" t="s">
        <v>3121</v>
      </c>
      <c r="C65" s="3004" t="s">
        <v>3564</v>
      </c>
      <c r="D65" s="3007" t="s">
        <v>3569</v>
      </c>
      <c r="E65" s="3008" t="s">
        <v>3570</v>
      </c>
      <c r="F65" s="3011">
        <v>50.87</v>
      </c>
      <c r="G65" s="3011">
        <v>5.68</v>
      </c>
      <c r="H65" s="3004" t="s">
        <v>1373</v>
      </c>
      <c r="I65" s="3007" t="s">
        <v>3563</v>
      </c>
      <c r="J65" s="3010">
        <f t="shared" si="1"/>
        <v>56156</v>
      </c>
      <c r="K65" s="3007" t="str">
        <f t="shared" si="2"/>
        <v>12层</v>
      </c>
      <c r="L65" s="3007" t="s">
        <v>3571</v>
      </c>
      <c r="N65" s="3002">
        <f t="shared" ca="1" si="0"/>
        <v>532812</v>
      </c>
    </row>
    <row r="66" spans="1:14" ht="24">
      <c r="A66" s="3007">
        <v>63</v>
      </c>
      <c r="B66" s="3007" t="s">
        <v>3122</v>
      </c>
      <c r="C66" s="3004" t="s">
        <v>3564</v>
      </c>
      <c r="D66" s="3007" t="s">
        <v>3572</v>
      </c>
      <c r="E66" s="3008" t="s">
        <v>3573</v>
      </c>
      <c r="F66" s="3011">
        <v>54.01</v>
      </c>
      <c r="G66" s="3011">
        <v>6.03</v>
      </c>
      <c r="H66" s="3004" t="s">
        <v>1373</v>
      </c>
      <c r="I66" s="3007" t="s">
        <v>3563</v>
      </c>
      <c r="J66" s="3010">
        <f t="shared" si="1"/>
        <v>56156</v>
      </c>
      <c r="K66" s="3007" t="str">
        <f t="shared" si="2"/>
        <v>12层</v>
      </c>
      <c r="L66" s="3007" t="str">
        <f>$L$65</f>
        <v>4层</v>
      </c>
      <c r="N66" s="3002">
        <f t="shared" ca="1" si="0"/>
        <v>565701</v>
      </c>
    </row>
    <row r="67" spans="1:14" ht="24">
      <c r="A67" s="3007">
        <v>64</v>
      </c>
      <c r="B67" s="3007" t="s">
        <v>3123</v>
      </c>
      <c r="C67" s="3004" t="s">
        <v>3477</v>
      </c>
      <c r="D67" s="3007" t="s">
        <v>3574</v>
      </c>
      <c r="E67" s="3008" t="s">
        <v>3575</v>
      </c>
      <c r="F67" s="3011">
        <v>52.04</v>
      </c>
      <c r="G67" s="3011">
        <v>5.81</v>
      </c>
      <c r="H67" s="3004" t="s">
        <v>1373</v>
      </c>
      <c r="I67" s="3007" t="s">
        <v>3440</v>
      </c>
      <c r="J67" s="3010">
        <f t="shared" si="1"/>
        <v>56156</v>
      </c>
      <c r="K67" s="3007" t="str">
        <f t="shared" si="2"/>
        <v>12层</v>
      </c>
      <c r="L67" s="3007" t="str">
        <f t="shared" ref="L67:L86" si="6">$L$65</f>
        <v>4层</v>
      </c>
      <c r="N67" s="3002">
        <f t="shared" ca="1" si="0"/>
        <v>545067</v>
      </c>
    </row>
    <row r="68" spans="1:14" ht="24">
      <c r="A68" s="3007">
        <v>65</v>
      </c>
      <c r="B68" s="3007" t="s">
        <v>3124</v>
      </c>
      <c r="C68" s="3004" t="s">
        <v>3477</v>
      </c>
      <c r="D68" s="3007" t="s">
        <v>3576</v>
      </c>
      <c r="E68" s="3008" t="s">
        <v>3577</v>
      </c>
      <c r="F68" s="3011">
        <v>71.069999999999993</v>
      </c>
      <c r="G68" s="3011">
        <v>7.93</v>
      </c>
      <c r="H68" s="3004" t="s">
        <v>1373</v>
      </c>
      <c r="I68" s="3007" t="s">
        <v>3440</v>
      </c>
      <c r="J68" s="3010">
        <f t="shared" si="1"/>
        <v>56156</v>
      </c>
      <c r="K68" s="3007" t="str">
        <f t="shared" si="2"/>
        <v>12层</v>
      </c>
      <c r="L68" s="3007" t="str">
        <f t="shared" si="6"/>
        <v>4层</v>
      </c>
      <c r="N68" s="3002">
        <f t="shared" ca="1" si="0"/>
        <v>744387</v>
      </c>
    </row>
    <row r="69" spans="1:14" ht="24">
      <c r="A69" s="3007">
        <v>66</v>
      </c>
      <c r="B69" s="3007" t="s">
        <v>3125</v>
      </c>
      <c r="C69" s="3004" t="s">
        <v>3477</v>
      </c>
      <c r="D69" s="3007" t="s">
        <v>3578</v>
      </c>
      <c r="E69" s="3008" t="s">
        <v>3579</v>
      </c>
      <c r="F69" s="3011">
        <v>71.489999999999995</v>
      </c>
      <c r="G69" s="3011">
        <v>7.98</v>
      </c>
      <c r="H69" s="3004" t="s">
        <v>1373</v>
      </c>
      <c r="I69" s="3007" t="s">
        <v>3440</v>
      </c>
      <c r="J69" s="3010">
        <f t="shared" si="1"/>
        <v>56156</v>
      </c>
      <c r="K69" s="3007" t="str">
        <f t="shared" si="2"/>
        <v>12层</v>
      </c>
      <c r="L69" s="3007" t="str">
        <f t="shared" si="6"/>
        <v>4层</v>
      </c>
      <c r="N69" s="3002">
        <f t="shared" ref="N69:N132" ca="1" si="7">ROUND(F69*$M$4,0)</f>
        <v>748786</v>
      </c>
    </row>
    <row r="70" spans="1:14" ht="24">
      <c r="A70" s="3007">
        <v>67</v>
      </c>
      <c r="B70" s="3007" t="s">
        <v>3126</v>
      </c>
      <c r="C70" s="3004" t="s">
        <v>3477</v>
      </c>
      <c r="D70" s="3007" t="s">
        <v>3580</v>
      </c>
      <c r="E70" s="3008" t="s">
        <v>3581</v>
      </c>
      <c r="F70" s="3011">
        <v>52.23</v>
      </c>
      <c r="G70" s="3011">
        <v>5.83</v>
      </c>
      <c r="H70" s="3004" t="s">
        <v>1373</v>
      </c>
      <c r="I70" s="3007" t="s">
        <v>3440</v>
      </c>
      <c r="J70" s="3010">
        <f t="shared" ref="J70:J133" si="8">$J$4</f>
        <v>56156</v>
      </c>
      <c r="K70" s="3007" t="str">
        <f t="shared" ref="K70:K133" si="9">$K$4</f>
        <v>12层</v>
      </c>
      <c r="L70" s="3007" t="str">
        <f t="shared" si="6"/>
        <v>4层</v>
      </c>
      <c r="N70" s="3002">
        <f t="shared" ca="1" si="7"/>
        <v>547057</v>
      </c>
    </row>
    <row r="71" spans="1:14" ht="24">
      <c r="A71" s="3007">
        <v>68</v>
      </c>
      <c r="B71" s="3007" t="s">
        <v>3127</v>
      </c>
      <c r="C71" s="3004" t="s">
        <v>3527</v>
      </c>
      <c r="D71" s="3007" t="s">
        <v>3582</v>
      </c>
      <c r="E71" s="3008" t="s">
        <v>3583</v>
      </c>
      <c r="F71" s="3011">
        <v>52.3</v>
      </c>
      <c r="G71" s="3011">
        <v>5.84</v>
      </c>
      <c r="H71" s="3004" t="s">
        <v>1373</v>
      </c>
      <c r="I71" s="3007" t="s">
        <v>3530</v>
      </c>
      <c r="J71" s="3010">
        <f t="shared" si="8"/>
        <v>56156</v>
      </c>
      <c r="K71" s="3007" t="str">
        <f t="shared" si="9"/>
        <v>12层</v>
      </c>
      <c r="L71" s="3007" t="str">
        <f t="shared" si="6"/>
        <v>4层</v>
      </c>
      <c r="N71" s="3002">
        <f t="shared" ca="1" si="7"/>
        <v>547790</v>
      </c>
    </row>
    <row r="72" spans="1:14" ht="24">
      <c r="A72" s="3007">
        <v>69</v>
      </c>
      <c r="B72" s="3007" t="s">
        <v>3128</v>
      </c>
      <c r="C72" s="3004" t="s">
        <v>3527</v>
      </c>
      <c r="D72" s="3007" t="s">
        <v>3584</v>
      </c>
      <c r="E72" s="3008" t="s">
        <v>3585</v>
      </c>
      <c r="F72" s="3011">
        <v>52.27</v>
      </c>
      <c r="G72" s="3011">
        <v>5.83</v>
      </c>
      <c r="H72" s="3004" t="s">
        <v>1373</v>
      </c>
      <c r="I72" s="3007" t="s">
        <v>3443</v>
      </c>
      <c r="J72" s="3010">
        <f t="shared" si="8"/>
        <v>56156</v>
      </c>
      <c r="K72" s="3007" t="str">
        <f t="shared" si="9"/>
        <v>12层</v>
      </c>
      <c r="L72" s="3007" t="str">
        <f t="shared" si="6"/>
        <v>4层</v>
      </c>
      <c r="N72" s="3002">
        <f t="shared" ca="1" si="7"/>
        <v>547476</v>
      </c>
    </row>
    <row r="73" spans="1:14" ht="24">
      <c r="A73" s="3007">
        <v>70</v>
      </c>
      <c r="B73" s="3007" t="s">
        <v>3129</v>
      </c>
      <c r="C73" s="3004" t="s">
        <v>3431</v>
      </c>
      <c r="D73" s="3007" t="s">
        <v>3586</v>
      </c>
      <c r="E73" s="3008" t="s">
        <v>3587</v>
      </c>
      <c r="F73" s="3011">
        <v>52.94</v>
      </c>
      <c r="G73" s="3011">
        <v>5.91</v>
      </c>
      <c r="H73" s="3004" t="s">
        <v>1373</v>
      </c>
      <c r="I73" s="3007" t="s">
        <v>3443</v>
      </c>
      <c r="J73" s="3010">
        <f t="shared" si="8"/>
        <v>56156</v>
      </c>
      <c r="K73" s="3007" t="str">
        <f t="shared" si="9"/>
        <v>12层</v>
      </c>
      <c r="L73" s="3007" t="str">
        <f t="shared" si="6"/>
        <v>4层</v>
      </c>
      <c r="N73" s="3002">
        <f t="shared" ca="1" si="7"/>
        <v>554494</v>
      </c>
    </row>
    <row r="74" spans="1:14" ht="24">
      <c r="A74" s="3007">
        <v>71</v>
      </c>
      <c r="B74" s="3007" t="s">
        <v>3130</v>
      </c>
      <c r="C74" s="3004" t="s">
        <v>3431</v>
      </c>
      <c r="D74" s="3007" t="s">
        <v>3588</v>
      </c>
      <c r="E74" s="3008" t="s">
        <v>3589</v>
      </c>
      <c r="F74" s="3011">
        <v>61.19</v>
      </c>
      <c r="G74" s="3011">
        <v>6.83</v>
      </c>
      <c r="H74" s="3004" t="s">
        <v>1373</v>
      </c>
      <c r="I74" s="3007" t="s">
        <v>3443</v>
      </c>
      <c r="J74" s="3010">
        <f t="shared" si="8"/>
        <v>56156</v>
      </c>
      <c r="K74" s="3007" t="str">
        <f t="shared" si="9"/>
        <v>12层</v>
      </c>
      <c r="L74" s="3007" t="str">
        <f t="shared" si="6"/>
        <v>4层</v>
      </c>
      <c r="N74" s="3002">
        <f t="shared" ca="1" si="7"/>
        <v>640904</v>
      </c>
    </row>
    <row r="75" spans="1:14" ht="24">
      <c r="A75" s="3007">
        <v>72</v>
      </c>
      <c r="B75" s="3007" t="s">
        <v>3131</v>
      </c>
      <c r="C75" s="3004" t="s">
        <v>3431</v>
      </c>
      <c r="D75" s="3007" t="s">
        <v>3590</v>
      </c>
      <c r="E75" s="3008" t="s">
        <v>3591</v>
      </c>
      <c r="F75" s="3011">
        <v>65.760000000000005</v>
      </c>
      <c r="G75" s="3011">
        <v>7.34</v>
      </c>
      <c r="H75" s="3004" t="s">
        <v>1373</v>
      </c>
      <c r="I75" s="3007" t="s">
        <v>3443</v>
      </c>
      <c r="J75" s="3010">
        <f t="shared" si="8"/>
        <v>56156</v>
      </c>
      <c r="K75" s="3007" t="str">
        <f t="shared" si="9"/>
        <v>12层</v>
      </c>
      <c r="L75" s="3007" t="str">
        <f t="shared" si="6"/>
        <v>4层</v>
      </c>
      <c r="N75" s="3002">
        <f t="shared" ca="1" si="7"/>
        <v>688770</v>
      </c>
    </row>
    <row r="76" spans="1:14" ht="24">
      <c r="A76" s="3007">
        <v>73</v>
      </c>
      <c r="B76" s="3007" t="s">
        <v>3132</v>
      </c>
      <c r="C76" s="3004" t="s">
        <v>3431</v>
      </c>
      <c r="D76" s="3007" t="s">
        <v>3592</v>
      </c>
      <c r="E76" s="3008" t="s">
        <v>3593</v>
      </c>
      <c r="F76" s="3011">
        <v>60.59</v>
      </c>
      <c r="G76" s="3011">
        <v>6.76</v>
      </c>
      <c r="H76" s="3004" t="s">
        <v>1373</v>
      </c>
      <c r="I76" s="3007" t="s">
        <v>3443</v>
      </c>
      <c r="J76" s="3010">
        <f t="shared" si="8"/>
        <v>56156</v>
      </c>
      <c r="K76" s="3007" t="str">
        <f t="shared" si="9"/>
        <v>12层</v>
      </c>
      <c r="L76" s="3007" t="str">
        <f t="shared" si="6"/>
        <v>4层</v>
      </c>
      <c r="N76" s="3002">
        <f t="shared" ca="1" si="7"/>
        <v>634620</v>
      </c>
    </row>
    <row r="77" spans="1:14" ht="24">
      <c r="A77" s="3007">
        <v>74</v>
      </c>
      <c r="B77" s="3007" t="s">
        <v>3133</v>
      </c>
      <c r="C77" s="3004" t="s">
        <v>3431</v>
      </c>
      <c r="D77" s="3007" t="s">
        <v>3594</v>
      </c>
      <c r="E77" s="3008" t="s">
        <v>3595</v>
      </c>
      <c r="F77" s="3011">
        <v>53.01</v>
      </c>
      <c r="G77" s="3011">
        <v>5.92</v>
      </c>
      <c r="H77" s="3004" t="s">
        <v>1373</v>
      </c>
      <c r="I77" s="3007" t="s">
        <v>3443</v>
      </c>
      <c r="J77" s="3010">
        <f t="shared" si="8"/>
        <v>56156</v>
      </c>
      <c r="K77" s="3007" t="str">
        <f t="shared" si="9"/>
        <v>12层</v>
      </c>
      <c r="L77" s="3007" t="str">
        <f t="shared" si="6"/>
        <v>4层</v>
      </c>
      <c r="N77" s="3002">
        <f t="shared" ca="1" si="7"/>
        <v>555227</v>
      </c>
    </row>
    <row r="78" spans="1:14" ht="24">
      <c r="A78" s="3007">
        <v>75</v>
      </c>
      <c r="B78" s="3007" t="s">
        <v>3134</v>
      </c>
      <c r="C78" s="3004" t="s">
        <v>3431</v>
      </c>
      <c r="D78" s="3007" t="s">
        <v>3596</v>
      </c>
      <c r="E78" s="3008" t="s">
        <v>3597</v>
      </c>
      <c r="F78" s="3011">
        <v>52.95</v>
      </c>
      <c r="G78" s="3011">
        <v>5.91</v>
      </c>
      <c r="H78" s="3004" t="s">
        <v>1373</v>
      </c>
      <c r="I78" s="3007" t="s">
        <v>3443</v>
      </c>
      <c r="J78" s="3010">
        <f t="shared" si="8"/>
        <v>56156</v>
      </c>
      <c r="K78" s="3007" t="str">
        <f t="shared" si="9"/>
        <v>12层</v>
      </c>
      <c r="L78" s="3007" t="str">
        <f t="shared" si="6"/>
        <v>4层</v>
      </c>
      <c r="N78" s="3002">
        <f t="shared" ca="1" si="7"/>
        <v>554598</v>
      </c>
    </row>
    <row r="79" spans="1:14" ht="24">
      <c r="A79" s="3007">
        <v>76</v>
      </c>
      <c r="B79" s="3007" t="s">
        <v>3135</v>
      </c>
      <c r="C79" s="3004" t="s">
        <v>3431</v>
      </c>
      <c r="D79" s="3007" t="s">
        <v>3598</v>
      </c>
      <c r="E79" s="3008" t="s">
        <v>3599</v>
      </c>
      <c r="F79" s="3011">
        <v>52.95</v>
      </c>
      <c r="G79" s="3011">
        <v>5.91</v>
      </c>
      <c r="H79" s="3004" t="s">
        <v>1373</v>
      </c>
      <c r="I79" s="3007" t="s">
        <v>3443</v>
      </c>
      <c r="J79" s="3010">
        <f t="shared" si="8"/>
        <v>56156</v>
      </c>
      <c r="K79" s="3007" t="str">
        <f t="shared" si="9"/>
        <v>12层</v>
      </c>
      <c r="L79" s="3007" t="str">
        <f t="shared" si="6"/>
        <v>4层</v>
      </c>
      <c r="N79" s="3002">
        <f t="shared" ca="1" si="7"/>
        <v>554598</v>
      </c>
    </row>
    <row r="80" spans="1:14" ht="24">
      <c r="A80" s="3007">
        <v>77</v>
      </c>
      <c r="B80" s="3007" t="s">
        <v>3136</v>
      </c>
      <c r="C80" s="3004" t="s">
        <v>3431</v>
      </c>
      <c r="D80" s="3007" t="s">
        <v>3600</v>
      </c>
      <c r="E80" s="3008" t="s">
        <v>3601</v>
      </c>
      <c r="F80" s="3011">
        <v>52.92</v>
      </c>
      <c r="G80" s="3011">
        <v>5.91</v>
      </c>
      <c r="H80" s="3004" t="s">
        <v>1373</v>
      </c>
      <c r="I80" s="3007" t="s">
        <v>3443</v>
      </c>
      <c r="J80" s="3010">
        <f t="shared" si="8"/>
        <v>56156</v>
      </c>
      <c r="K80" s="3007" t="str">
        <f t="shared" si="9"/>
        <v>12层</v>
      </c>
      <c r="L80" s="3007" t="str">
        <f t="shared" si="6"/>
        <v>4层</v>
      </c>
      <c r="N80" s="3002">
        <f t="shared" ca="1" si="7"/>
        <v>554284</v>
      </c>
    </row>
    <row r="81" spans="1:14" ht="24">
      <c r="A81" s="3007">
        <v>78</v>
      </c>
      <c r="B81" s="3007" t="s">
        <v>3137</v>
      </c>
      <c r="C81" s="3004" t="s">
        <v>3431</v>
      </c>
      <c r="D81" s="3007" t="s">
        <v>3602</v>
      </c>
      <c r="E81" s="3008" t="s">
        <v>3603</v>
      </c>
      <c r="F81" s="3011">
        <v>72.87</v>
      </c>
      <c r="G81" s="3011">
        <v>8.1300000000000008</v>
      </c>
      <c r="H81" s="3004" t="s">
        <v>1373</v>
      </c>
      <c r="I81" s="3007" t="s">
        <v>3443</v>
      </c>
      <c r="J81" s="3010">
        <f t="shared" si="8"/>
        <v>56156</v>
      </c>
      <c r="K81" s="3007" t="str">
        <f t="shared" si="9"/>
        <v>12层</v>
      </c>
      <c r="L81" s="3007" t="str">
        <f t="shared" si="6"/>
        <v>4层</v>
      </c>
      <c r="N81" s="3002">
        <f t="shared" ca="1" si="7"/>
        <v>763240</v>
      </c>
    </row>
    <row r="82" spans="1:14" ht="24">
      <c r="A82" s="3007">
        <v>79</v>
      </c>
      <c r="B82" s="3007" t="s">
        <v>3138</v>
      </c>
      <c r="C82" s="3004" t="s">
        <v>3431</v>
      </c>
      <c r="D82" s="3007" t="s">
        <v>3604</v>
      </c>
      <c r="E82" s="3008" t="s">
        <v>3605</v>
      </c>
      <c r="F82" s="3011">
        <v>72.239999999999995</v>
      </c>
      <c r="G82" s="3011">
        <v>8.06</v>
      </c>
      <c r="H82" s="3004" t="s">
        <v>1373</v>
      </c>
      <c r="I82" s="3007" t="s">
        <v>3443</v>
      </c>
      <c r="J82" s="3010">
        <f t="shared" si="8"/>
        <v>56156</v>
      </c>
      <c r="K82" s="3007" t="str">
        <f t="shared" si="9"/>
        <v>12层</v>
      </c>
      <c r="L82" s="3007" t="str">
        <f t="shared" si="6"/>
        <v>4层</v>
      </c>
      <c r="N82" s="3002">
        <f t="shared" ca="1" si="7"/>
        <v>756642</v>
      </c>
    </row>
    <row r="83" spans="1:14" ht="24">
      <c r="A83" s="3007">
        <v>80</v>
      </c>
      <c r="B83" s="3007" t="s">
        <v>3139</v>
      </c>
      <c r="C83" s="3004" t="s">
        <v>3431</v>
      </c>
      <c r="D83" s="3007" t="s">
        <v>3606</v>
      </c>
      <c r="E83" s="3008" t="s">
        <v>3607</v>
      </c>
      <c r="F83" s="3011">
        <v>52.92</v>
      </c>
      <c r="G83" s="3011">
        <v>5.91</v>
      </c>
      <c r="H83" s="3004" t="s">
        <v>1373</v>
      </c>
      <c r="I83" s="3007" t="s">
        <v>3443</v>
      </c>
      <c r="J83" s="3010">
        <f t="shared" si="8"/>
        <v>56156</v>
      </c>
      <c r="K83" s="3007" t="str">
        <f t="shared" si="9"/>
        <v>12层</v>
      </c>
      <c r="L83" s="3007" t="str">
        <f t="shared" si="6"/>
        <v>4层</v>
      </c>
      <c r="N83" s="3002">
        <f t="shared" ca="1" si="7"/>
        <v>554284</v>
      </c>
    </row>
    <row r="84" spans="1:14" ht="24">
      <c r="A84" s="3007">
        <v>81</v>
      </c>
      <c r="B84" s="3007" t="s">
        <v>3140</v>
      </c>
      <c r="C84" s="3004" t="s">
        <v>3431</v>
      </c>
      <c r="D84" s="3007" t="s">
        <v>3608</v>
      </c>
      <c r="E84" s="3008" t="s">
        <v>3609</v>
      </c>
      <c r="F84" s="3011">
        <v>52.95</v>
      </c>
      <c r="G84" s="3011">
        <v>5.91</v>
      </c>
      <c r="H84" s="3004" t="s">
        <v>1373</v>
      </c>
      <c r="I84" s="3007" t="s">
        <v>3443</v>
      </c>
      <c r="J84" s="3010">
        <f t="shared" si="8"/>
        <v>56156</v>
      </c>
      <c r="K84" s="3007" t="str">
        <f t="shared" si="9"/>
        <v>12层</v>
      </c>
      <c r="L84" s="3007" t="str">
        <f t="shared" si="6"/>
        <v>4层</v>
      </c>
      <c r="N84" s="3002">
        <f t="shared" ca="1" si="7"/>
        <v>554598</v>
      </c>
    </row>
    <row r="85" spans="1:14" ht="24">
      <c r="A85" s="3007">
        <v>82</v>
      </c>
      <c r="B85" s="3007" t="s">
        <v>3141</v>
      </c>
      <c r="C85" s="3004" t="s">
        <v>3431</v>
      </c>
      <c r="D85" s="3007" t="s">
        <v>3610</v>
      </c>
      <c r="E85" s="3008" t="s">
        <v>3611</v>
      </c>
      <c r="F85" s="3011">
        <v>52.29</v>
      </c>
      <c r="G85" s="3011">
        <v>5.84</v>
      </c>
      <c r="H85" s="3004" t="s">
        <v>1373</v>
      </c>
      <c r="I85" s="3007" t="s">
        <v>3443</v>
      </c>
      <c r="J85" s="3010">
        <f t="shared" si="8"/>
        <v>56156</v>
      </c>
      <c r="K85" s="3007" t="str">
        <f t="shared" si="9"/>
        <v>12层</v>
      </c>
      <c r="L85" s="3007" t="str">
        <f t="shared" si="6"/>
        <v>4层</v>
      </c>
      <c r="N85" s="3002">
        <f t="shared" ca="1" si="7"/>
        <v>547685</v>
      </c>
    </row>
    <row r="86" spans="1:14" ht="24">
      <c r="A86" s="3007">
        <v>83</v>
      </c>
      <c r="B86" s="3007" t="s">
        <v>3142</v>
      </c>
      <c r="C86" s="3004" t="s">
        <v>3431</v>
      </c>
      <c r="D86" s="3007" t="s">
        <v>3612</v>
      </c>
      <c r="E86" s="3008" t="s">
        <v>3613</v>
      </c>
      <c r="F86" s="3011">
        <v>64.63</v>
      </c>
      <c r="G86" s="3011">
        <v>7.21</v>
      </c>
      <c r="H86" s="3004" t="s">
        <v>1373</v>
      </c>
      <c r="I86" s="3007" t="s">
        <v>3443</v>
      </c>
      <c r="J86" s="3010">
        <f t="shared" si="8"/>
        <v>56156</v>
      </c>
      <c r="K86" s="3007" t="str">
        <f t="shared" si="9"/>
        <v>12层</v>
      </c>
      <c r="L86" s="3007" t="str">
        <f t="shared" si="6"/>
        <v>4层</v>
      </c>
      <c r="N86" s="3002">
        <f t="shared" ca="1" si="7"/>
        <v>676935</v>
      </c>
    </row>
    <row r="87" spans="1:14" ht="24">
      <c r="A87" s="3007">
        <v>84</v>
      </c>
      <c r="B87" s="3007" t="s">
        <v>3143</v>
      </c>
      <c r="C87" s="3004" t="s">
        <v>3431</v>
      </c>
      <c r="D87" s="3007" t="s">
        <v>3614</v>
      </c>
      <c r="E87" s="3008" t="s">
        <v>3615</v>
      </c>
      <c r="F87" s="3011">
        <v>51.1</v>
      </c>
      <c r="G87" s="3011">
        <v>5.7</v>
      </c>
      <c r="H87" s="3004" t="s">
        <v>1373</v>
      </c>
      <c r="I87" s="3007" t="s">
        <v>3443</v>
      </c>
      <c r="J87" s="3010">
        <f t="shared" si="8"/>
        <v>56156</v>
      </c>
      <c r="K87" s="3007" t="str">
        <f t="shared" si="9"/>
        <v>12层</v>
      </c>
      <c r="L87" s="3007" t="s">
        <v>3616</v>
      </c>
      <c r="N87" s="3002">
        <f t="shared" ca="1" si="7"/>
        <v>535221</v>
      </c>
    </row>
    <row r="88" spans="1:14" ht="24">
      <c r="A88" s="3007">
        <v>85</v>
      </c>
      <c r="B88" s="3007" t="s">
        <v>3144</v>
      </c>
      <c r="C88" s="3004" t="s">
        <v>3431</v>
      </c>
      <c r="D88" s="3007" t="s">
        <v>3617</v>
      </c>
      <c r="E88" s="3008" t="s">
        <v>3618</v>
      </c>
      <c r="F88" s="3011">
        <v>52.87</v>
      </c>
      <c r="G88" s="3011">
        <v>5.9</v>
      </c>
      <c r="H88" s="3004" t="s">
        <v>1373</v>
      </c>
      <c r="I88" s="3007" t="s">
        <v>3443</v>
      </c>
      <c r="J88" s="3010">
        <f t="shared" si="8"/>
        <v>56156</v>
      </c>
      <c r="K88" s="3007" t="str">
        <f t="shared" si="9"/>
        <v>12层</v>
      </c>
      <c r="L88" s="3007" t="str">
        <f>$L$87</f>
        <v>5层</v>
      </c>
      <c r="N88" s="3002">
        <f t="shared" ca="1" si="7"/>
        <v>553760</v>
      </c>
    </row>
    <row r="89" spans="1:14" ht="24">
      <c r="A89" s="3007">
        <v>86</v>
      </c>
      <c r="B89" s="3007" t="s">
        <v>3145</v>
      </c>
      <c r="C89" s="3004" t="s">
        <v>3527</v>
      </c>
      <c r="D89" s="3007" t="s">
        <v>3619</v>
      </c>
      <c r="E89" s="3008" t="s">
        <v>3620</v>
      </c>
      <c r="F89" s="3011">
        <v>52.86</v>
      </c>
      <c r="G89" s="3011">
        <v>5.9</v>
      </c>
      <c r="H89" s="3004" t="s">
        <v>1373</v>
      </c>
      <c r="I89" s="3007" t="s">
        <v>3530</v>
      </c>
      <c r="J89" s="3010">
        <f t="shared" si="8"/>
        <v>56156</v>
      </c>
      <c r="K89" s="3007" t="str">
        <f t="shared" si="9"/>
        <v>12层</v>
      </c>
      <c r="L89" s="3007" t="str">
        <f t="shared" ref="L89:L106" si="10">$L$87</f>
        <v>5层</v>
      </c>
      <c r="N89" s="3002">
        <f t="shared" ca="1" si="7"/>
        <v>553656</v>
      </c>
    </row>
    <row r="90" spans="1:14" ht="24">
      <c r="A90" s="3007">
        <v>87</v>
      </c>
      <c r="B90" s="3007" t="s">
        <v>3146</v>
      </c>
      <c r="C90" s="3004" t="s">
        <v>3621</v>
      </c>
      <c r="D90" s="3007" t="s">
        <v>3622</v>
      </c>
      <c r="E90" s="3008" t="s">
        <v>3623</v>
      </c>
      <c r="F90" s="3011">
        <v>52.87</v>
      </c>
      <c r="G90" s="3011">
        <v>5.9</v>
      </c>
      <c r="H90" s="3004" t="s">
        <v>1373</v>
      </c>
      <c r="I90" s="3007" t="s">
        <v>3530</v>
      </c>
      <c r="J90" s="3010">
        <f t="shared" si="8"/>
        <v>56156</v>
      </c>
      <c r="K90" s="3007" t="str">
        <f t="shared" si="9"/>
        <v>12层</v>
      </c>
      <c r="L90" s="3007" t="str">
        <f t="shared" si="10"/>
        <v>5层</v>
      </c>
      <c r="N90" s="3002">
        <f t="shared" ca="1" si="7"/>
        <v>553760</v>
      </c>
    </row>
    <row r="91" spans="1:14" ht="24">
      <c r="A91" s="3007">
        <v>88</v>
      </c>
      <c r="B91" s="3007" t="s">
        <v>3147</v>
      </c>
      <c r="C91" s="3004" t="s">
        <v>3527</v>
      </c>
      <c r="D91" s="3007" t="s">
        <v>3624</v>
      </c>
      <c r="E91" s="3008" t="s">
        <v>3625</v>
      </c>
      <c r="F91" s="3011">
        <v>71.400000000000006</v>
      </c>
      <c r="G91" s="3011">
        <v>7.97</v>
      </c>
      <c r="H91" s="3004" t="s">
        <v>1373</v>
      </c>
      <c r="I91" s="3007" t="s">
        <v>3530</v>
      </c>
      <c r="J91" s="3010">
        <f t="shared" si="8"/>
        <v>56156</v>
      </c>
      <c r="K91" s="3007" t="str">
        <f t="shared" si="9"/>
        <v>12层</v>
      </c>
      <c r="L91" s="3007" t="str">
        <f t="shared" si="10"/>
        <v>5层</v>
      </c>
      <c r="N91" s="3002">
        <f t="shared" ca="1" si="7"/>
        <v>747844</v>
      </c>
    </row>
    <row r="92" spans="1:14" ht="24">
      <c r="A92" s="3007">
        <v>89</v>
      </c>
      <c r="B92" s="3007" t="s">
        <v>3148</v>
      </c>
      <c r="C92" s="3004" t="s">
        <v>3527</v>
      </c>
      <c r="D92" s="3007" t="s">
        <v>3626</v>
      </c>
      <c r="E92" s="3008" t="s">
        <v>3627</v>
      </c>
      <c r="F92" s="3011">
        <v>71.819999999999993</v>
      </c>
      <c r="G92" s="3011">
        <v>8.01</v>
      </c>
      <c r="H92" s="3004" t="s">
        <v>1373</v>
      </c>
      <c r="I92" s="3007" t="s">
        <v>3530</v>
      </c>
      <c r="J92" s="3010">
        <f t="shared" si="8"/>
        <v>56156</v>
      </c>
      <c r="K92" s="3007" t="str">
        <f t="shared" si="9"/>
        <v>12层</v>
      </c>
      <c r="L92" s="3007" t="str">
        <f t="shared" si="10"/>
        <v>5层</v>
      </c>
      <c r="N92" s="3002">
        <f t="shared" ca="1" si="7"/>
        <v>752243</v>
      </c>
    </row>
    <row r="93" spans="1:14" ht="24">
      <c r="A93" s="3007">
        <v>90</v>
      </c>
      <c r="B93" s="3007" t="s">
        <v>3149</v>
      </c>
      <c r="C93" s="3004" t="s">
        <v>3527</v>
      </c>
      <c r="D93" s="3007" t="s">
        <v>3628</v>
      </c>
      <c r="E93" s="3008" t="s">
        <v>3629</v>
      </c>
      <c r="F93" s="3011">
        <v>52.47</v>
      </c>
      <c r="G93" s="3011">
        <v>5.86</v>
      </c>
      <c r="H93" s="3004" t="s">
        <v>1373</v>
      </c>
      <c r="I93" s="3007" t="s">
        <v>3530</v>
      </c>
      <c r="J93" s="3010">
        <f t="shared" si="8"/>
        <v>56156</v>
      </c>
      <c r="K93" s="3007" t="str">
        <f t="shared" si="9"/>
        <v>12层</v>
      </c>
      <c r="L93" s="3007" t="str">
        <f t="shared" si="10"/>
        <v>5层</v>
      </c>
      <c r="N93" s="3002">
        <f t="shared" ca="1" si="7"/>
        <v>549571</v>
      </c>
    </row>
    <row r="94" spans="1:14" ht="24">
      <c r="A94" s="3007">
        <v>91</v>
      </c>
      <c r="B94" s="3007" t="s">
        <v>3150</v>
      </c>
      <c r="C94" s="3004" t="s">
        <v>3527</v>
      </c>
      <c r="D94" s="3007" t="s">
        <v>3630</v>
      </c>
      <c r="E94" s="3008" t="s">
        <v>3631</v>
      </c>
      <c r="F94" s="3011">
        <v>53.33</v>
      </c>
      <c r="G94" s="3011">
        <v>5.95</v>
      </c>
      <c r="H94" s="3004" t="s">
        <v>1373</v>
      </c>
      <c r="I94" s="3007" t="s">
        <v>3530</v>
      </c>
      <c r="J94" s="3010">
        <f t="shared" si="8"/>
        <v>56156</v>
      </c>
      <c r="K94" s="3007" t="str">
        <f t="shared" si="9"/>
        <v>12层</v>
      </c>
      <c r="L94" s="3007" t="str">
        <f t="shared" si="10"/>
        <v>5层</v>
      </c>
      <c r="N94" s="3002">
        <f t="shared" ca="1" si="7"/>
        <v>558578</v>
      </c>
    </row>
    <row r="95" spans="1:14" ht="24">
      <c r="A95" s="3007">
        <v>92</v>
      </c>
      <c r="B95" s="3007" t="s">
        <v>3151</v>
      </c>
      <c r="C95" s="3004" t="s">
        <v>3527</v>
      </c>
      <c r="D95" s="3007" t="s">
        <v>3632</v>
      </c>
      <c r="E95" s="3008" t="s">
        <v>3633</v>
      </c>
      <c r="F95" s="3011">
        <v>61.47</v>
      </c>
      <c r="G95" s="3011">
        <v>6.86</v>
      </c>
      <c r="H95" s="3004" t="s">
        <v>1373</v>
      </c>
      <c r="I95" s="3007" t="s">
        <v>3530</v>
      </c>
      <c r="J95" s="3010">
        <f t="shared" si="8"/>
        <v>56156</v>
      </c>
      <c r="K95" s="3007" t="str">
        <f t="shared" si="9"/>
        <v>12层</v>
      </c>
      <c r="L95" s="3007" t="str">
        <f t="shared" si="10"/>
        <v>5层</v>
      </c>
      <c r="N95" s="3002">
        <f t="shared" ca="1" si="7"/>
        <v>643837</v>
      </c>
    </row>
    <row r="96" spans="1:14" ht="24">
      <c r="A96" s="3007">
        <v>93</v>
      </c>
      <c r="B96" s="3007" t="s">
        <v>3152</v>
      </c>
      <c r="C96" s="3004" t="s">
        <v>3527</v>
      </c>
      <c r="D96" s="3007" t="s">
        <v>3634</v>
      </c>
      <c r="E96" s="3008" t="s">
        <v>3635</v>
      </c>
      <c r="F96" s="3011">
        <v>66.06</v>
      </c>
      <c r="G96" s="3011">
        <v>7.37</v>
      </c>
      <c r="H96" s="3004" t="s">
        <v>1373</v>
      </c>
      <c r="I96" s="3007" t="s">
        <v>3530</v>
      </c>
      <c r="J96" s="3010">
        <f t="shared" si="8"/>
        <v>56156</v>
      </c>
      <c r="K96" s="3007" t="str">
        <f t="shared" si="9"/>
        <v>12层</v>
      </c>
      <c r="L96" s="3007" t="str">
        <f t="shared" si="10"/>
        <v>5层</v>
      </c>
      <c r="N96" s="3002">
        <f t="shared" ca="1" si="7"/>
        <v>691912</v>
      </c>
    </row>
    <row r="97" spans="1:14" ht="24">
      <c r="A97" s="3007">
        <v>94</v>
      </c>
      <c r="B97" s="3007" t="s">
        <v>3153</v>
      </c>
      <c r="C97" s="3004" t="s">
        <v>3527</v>
      </c>
      <c r="D97" s="3007" t="s">
        <v>3636</v>
      </c>
      <c r="E97" s="3008" t="s">
        <v>3637</v>
      </c>
      <c r="F97" s="3011">
        <v>60.87</v>
      </c>
      <c r="G97" s="3011">
        <v>6.79</v>
      </c>
      <c r="H97" s="3004" t="s">
        <v>1373</v>
      </c>
      <c r="I97" s="3007" t="s">
        <v>3563</v>
      </c>
      <c r="J97" s="3010">
        <f t="shared" si="8"/>
        <v>56156</v>
      </c>
      <c r="K97" s="3007" t="str">
        <f t="shared" si="9"/>
        <v>12层</v>
      </c>
      <c r="L97" s="3007" t="str">
        <f t="shared" si="10"/>
        <v>5层</v>
      </c>
      <c r="N97" s="3002">
        <f t="shared" ca="1" si="7"/>
        <v>637552</v>
      </c>
    </row>
    <row r="98" spans="1:14" ht="24">
      <c r="A98" s="3007">
        <v>95</v>
      </c>
      <c r="B98" s="3007" t="s">
        <v>3154</v>
      </c>
      <c r="C98" s="3004" t="s">
        <v>3564</v>
      </c>
      <c r="D98" s="3007" t="s">
        <v>3638</v>
      </c>
      <c r="E98" s="3008" t="s">
        <v>3639</v>
      </c>
      <c r="F98" s="3011">
        <v>53.25</v>
      </c>
      <c r="G98" s="3011">
        <v>5.94</v>
      </c>
      <c r="H98" s="3004" t="s">
        <v>1373</v>
      </c>
      <c r="I98" s="3007" t="s">
        <v>3563</v>
      </c>
      <c r="J98" s="3010">
        <f t="shared" si="8"/>
        <v>56156</v>
      </c>
      <c r="K98" s="3007" t="str">
        <f t="shared" si="9"/>
        <v>12层</v>
      </c>
      <c r="L98" s="3007" t="str">
        <f t="shared" si="10"/>
        <v>5层</v>
      </c>
      <c r="N98" s="3002">
        <f t="shared" ca="1" si="7"/>
        <v>557741</v>
      </c>
    </row>
    <row r="99" spans="1:14" ht="24">
      <c r="A99" s="3007">
        <v>96</v>
      </c>
      <c r="B99" s="3007" t="s">
        <v>3155</v>
      </c>
      <c r="C99" s="3004" t="s">
        <v>3564</v>
      </c>
      <c r="D99" s="3007" t="s">
        <v>3640</v>
      </c>
      <c r="E99" s="3008" t="s">
        <v>3641</v>
      </c>
      <c r="F99" s="3011">
        <v>53.19</v>
      </c>
      <c r="G99" s="3011">
        <v>5.94</v>
      </c>
      <c r="H99" s="3004" t="s">
        <v>1373</v>
      </c>
      <c r="I99" s="3007" t="s">
        <v>3563</v>
      </c>
      <c r="J99" s="3010">
        <f t="shared" si="8"/>
        <v>56156</v>
      </c>
      <c r="K99" s="3007" t="str">
        <f t="shared" si="9"/>
        <v>12层</v>
      </c>
      <c r="L99" s="3007" t="str">
        <f t="shared" si="10"/>
        <v>5层</v>
      </c>
      <c r="N99" s="3002">
        <f t="shared" ca="1" si="7"/>
        <v>557112</v>
      </c>
    </row>
    <row r="100" spans="1:14" ht="24">
      <c r="A100" s="3007">
        <v>97</v>
      </c>
      <c r="B100" s="3007" t="s">
        <v>3156</v>
      </c>
      <c r="C100" s="3004" t="s">
        <v>3564</v>
      </c>
      <c r="D100" s="3007" t="s">
        <v>3642</v>
      </c>
      <c r="E100" s="3008" t="s">
        <v>3643</v>
      </c>
      <c r="F100" s="3011">
        <v>53.19</v>
      </c>
      <c r="G100" s="3011">
        <v>5.94</v>
      </c>
      <c r="H100" s="3004" t="s">
        <v>1373</v>
      </c>
      <c r="I100" s="3007" t="s">
        <v>3563</v>
      </c>
      <c r="J100" s="3010">
        <f t="shared" si="8"/>
        <v>56156</v>
      </c>
      <c r="K100" s="3007" t="str">
        <f t="shared" si="9"/>
        <v>12层</v>
      </c>
      <c r="L100" s="3007" t="str">
        <f t="shared" si="10"/>
        <v>5层</v>
      </c>
      <c r="N100" s="3002">
        <f t="shared" ca="1" si="7"/>
        <v>557112</v>
      </c>
    </row>
    <row r="101" spans="1:14" ht="24">
      <c r="A101" s="3007">
        <v>98</v>
      </c>
      <c r="B101" s="3007" t="s">
        <v>3157</v>
      </c>
      <c r="C101" s="3004" t="s">
        <v>3564</v>
      </c>
      <c r="D101" s="3007" t="s">
        <v>3644</v>
      </c>
      <c r="E101" s="3008" t="s">
        <v>3645</v>
      </c>
      <c r="F101" s="3011">
        <v>53.17</v>
      </c>
      <c r="G101" s="3011">
        <v>5.93</v>
      </c>
      <c r="H101" s="3004" t="s">
        <v>1373</v>
      </c>
      <c r="I101" s="3007" t="s">
        <v>3563</v>
      </c>
      <c r="J101" s="3010">
        <f t="shared" si="8"/>
        <v>56156</v>
      </c>
      <c r="K101" s="3007" t="str">
        <f t="shared" si="9"/>
        <v>12层</v>
      </c>
      <c r="L101" s="3007" t="str">
        <f t="shared" si="10"/>
        <v>5层</v>
      </c>
      <c r="N101" s="3002">
        <f t="shared" ca="1" si="7"/>
        <v>556903</v>
      </c>
    </row>
    <row r="102" spans="1:14" ht="24">
      <c r="A102" s="3007">
        <v>99</v>
      </c>
      <c r="B102" s="3007" t="s">
        <v>3158</v>
      </c>
      <c r="C102" s="3004" t="s">
        <v>3564</v>
      </c>
      <c r="D102" s="3007" t="s">
        <v>3646</v>
      </c>
      <c r="E102" s="3008" t="s">
        <v>3647</v>
      </c>
      <c r="F102" s="3011">
        <v>73.2</v>
      </c>
      <c r="G102" s="3011">
        <v>8.17</v>
      </c>
      <c r="H102" s="3004" t="s">
        <v>1373</v>
      </c>
      <c r="I102" s="3007" t="s">
        <v>3563</v>
      </c>
      <c r="J102" s="3010">
        <f t="shared" si="8"/>
        <v>56156</v>
      </c>
      <c r="K102" s="3007" t="str">
        <f t="shared" si="9"/>
        <v>12层</v>
      </c>
      <c r="L102" s="3007" t="str">
        <f t="shared" si="10"/>
        <v>5层</v>
      </c>
      <c r="N102" s="3002">
        <f t="shared" ca="1" si="7"/>
        <v>766697</v>
      </c>
    </row>
    <row r="103" spans="1:14" ht="24">
      <c r="A103" s="3007">
        <v>100</v>
      </c>
      <c r="B103" s="3007" t="s">
        <v>3159</v>
      </c>
      <c r="C103" s="3004" t="s">
        <v>3564</v>
      </c>
      <c r="D103" s="3007" t="s">
        <v>3648</v>
      </c>
      <c r="E103" s="3008" t="s">
        <v>3649</v>
      </c>
      <c r="F103" s="3011">
        <v>72.569999999999993</v>
      </c>
      <c r="G103" s="3011">
        <v>8.1</v>
      </c>
      <c r="H103" s="3004" t="s">
        <v>1373</v>
      </c>
      <c r="I103" s="3007" t="s">
        <v>3563</v>
      </c>
      <c r="J103" s="3010">
        <f t="shared" si="8"/>
        <v>56156</v>
      </c>
      <c r="K103" s="3007" t="str">
        <f t="shared" si="9"/>
        <v>12层</v>
      </c>
      <c r="L103" s="3007" t="str">
        <f t="shared" si="10"/>
        <v>5层</v>
      </c>
      <c r="N103" s="3002">
        <f t="shared" ca="1" si="7"/>
        <v>760098</v>
      </c>
    </row>
    <row r="104" spans="1:14" ht="24">
      <c r="A104" s="3007">
        <v>101</v>
      </c>
      <c r="B104" s="3007" t="s">
        <v>3160</v>
      </c>
      <c r="C104" s="3004" t="s">
        <v>3564</v>
      </c>
      <c r="D104" s="3007" t="s">
        <v>3650</v>
      </c>
      <c r="E104" s="3008" t="s">
        <v>3651</v>
      </c>
      <c r="F104" s="3011">
        <v>53.17</v>
      </c>
      <c r="G104" s="3011">
        <v>5.93</v>
      </c>
      <c r="H104" s="3004" t="s">
        <v>1373</v>
      </c>
      <c r="I104" s="3007" t="s">
        <v>3563</v>
      </c>
      <c r="J104" s="3010">
        <f t="shared" si="8"/>
        <v>56156</v>
      </c>
      <c r="K104" s="3007" t="str">
        <f t="shared" si="9"/>
        <v>12层</v>
      </c>
      <c r="L104" s="3007" t="str">
        <f t="shared" si="10"/>
        <v>5层</v>
      </c>
      <c r="N104" s="3002">
        <f t="shared" ca="1" si="7"/>
        <v>556903</v>
      </c>
    </row>
    <row r="105" spans="1:14" ht="24">
      <c r="A105" s="3007">
        <v>102</v>
      </c>
      <c r="B105" s="3007" t="s">
        <v>3161</v>
      </c>
      <c r="C105" s="3004" t="s">
        <v>3564</v>
      </c>
      <c r="D105" s="3007" t="s">
        <v>3652</v>
      </c>
      <c r="E105" s="3008" t="s">
        <v>3653</v>
      </c>
      <c r="F105" s="3011">
        <v>53.19</v>
      </c>
      <c r="G105" s="3011">
        <v>5.94</v>
      </c>
      <c r="H105" s="3004" t="s">
        <v>1373</v>
      </c>
      <c r="I105" s="3007" t="s">
        <v>3563</v>
      </c>
      <c r="J105" s="3010">
        <f t="shared" si="8"/>
        <v>56156</v>
      </c>
      <c r="K105" s="3007" t="str">
        <f t="shared" si="9"/>
        <v>12层</v>
      </c>
      <c r="L105" s="3007" t="str">
        <f t="shared" si="10"/>
        <v>5层</v>
      </c>
      <c r="N105" s="3002">
        <f t="shared" ca="1" si="7"/>
        <v>557112</v>
      </c>
    </row>
    <row r="106" spans="1:14" ht="24">
      <c r="A106" s="3007">
        <v>103</v>
      </c>
      <c r="B106" s="3007" t="s">
        <v>3162</v>
      </c>
      <c r="C106" s="3004" t="s">
        <v>3564</v>
      </c>
      <c r="D106" s="3007" t="s">
        <v>3654</v>
      </c>
      <c r="E106" s="3008" t="s">
        <v>3655</v>
      </c>
      <c r="F106" s="3011">
        <v>52.53</v>
      </c>
      <c r="G106" s="3011">
        <v>5.86</v>
      </c>
      <c r="H106" s="3004" t="s">
        <v>1373</v>
      </c>
      <c r="I106" s="3007" t="s">
        <v>3563</v>
      </c>
      <c r="J106" s="3010">
        <f t="shared" si="8"/>
        <v>56156</v>
      </c>
      <c r="K106" s="3007" t="str">
        <f t="shared" si="9"/>
        <v>12层</v>
      </c>
      <c r="L106" s="3007" t="str">
        <f t="shared" si="10"/>
        <v>5层</v>
      </c>
      <c r="N106" s="3002">
        <f t="shared" ca="1" si="7"/>
        <v>550199</v>
      </c>
    </row>
    <row r="107" spans="1:14" ht="24">
      <c r="A107" s="3007">
        <v>104</v>
      </c>
      <c r="B107" s="3007" t="s">
        <v>3163</v>
      </c>
      <c r="C107" s="3004" t="s">
        <v>3564</v>
      </c>
      <c r="D107" s="3007" t="s">
        <v>3656</v>
      </c>
      <c r="E107" s="3008" t="s">
        <v>3657</v>
      </c>
      <c r="F107" s="3011">
        <v>64.930000000000007</v>
      </c>
      <c r="G107" s="3011">
        <v>7.25</v>
      </c>
      <c r="H107" s="3004" t="s">
        <v>1373</v>
      </c>
      <c r="I107" s="3007" t="s">
        <v>3563</v>
      </c>
      <c r="J107" s="3010">
        <f t="shared" si="8"/>
        <v>56156</v>
      </c>
      <c r="K107" s="3007" t="str">
        <f t="shared" si="9"/>
        <v>12层</v>
      </c>
      <c r="L107" s="3007" t="str">
        <f>$L$87</f>
        <v>5层</v>
      </c>
      <c r="N107" s="3002">
        <f t="shared" ca="1" si="7"/>
        <v>680077</v>
      </c>
    </row>
    <row r="108" spans="1:14" ht="24">
      <c r="A108" s="3007">
        <v>105</v>
      </c>
      <c r="B108" s="3007" t="s">
        <v>3164</v>
      </c>
      <c r="C108" s="3004" t="s">
        <v>3527</v>
      </c>
      <c r="D108" s="3007" t="s">
        <v>3658</v>
      </c>
      <c r="E108" s="3008" t="s">
        <v>3659</v>
      </c>
      <c r="F108" s="3011">
        <v>51.1</v>
      </c>
      <c r="G108" s="3011">
        <v>5.7</v>
      </c>
      <c r="H108" s="3004" t="s">
        <v>1373</v>
      </c>
      <c r="I108" s="3007" t="s">
        <v>3530</v>
      </c>
      <c r="J108" s="3010">
        <f t="shared" si="8"/>
        <v>56156</v>
      </c>
      <c r="K108" s="3007" t="str">
        <f t="shared" si="9"/>
        <v>12层</v>
      </c>
      <c r="L108" s="3007" t="s">
        <v>3660</v>
      </c>
      <c r="N108" s="3002">
        <f t="shared" ca="1" si="7"/>
        <v>535221</v>
      </c>
    </row>
    <row r="109" spans="1:14" ht="24">
      <c r="A109" s="3007">
        <v>106</v>
      </c>
      <c r="B109" s="3007" t="s">
        <v>3165</v>
      </c>
      <c r="C109" s="3004" t="s">
        <v>3527</v>
      </c>
      <c r="D109" s="3007" t="s">
        <v>3661</v>
      </c>
      <c r="E109" s="3008" t="s">
        <v>3662</v>
      </c>
      <c r="F109" s="3011">
        <v>52.87</v>
      </c>
      <c r="G109" s="3011">
        <v>5.9</v>
      </c>
      <c r="H109" s="3004" t="s">
        <v>1373</v>
      </c>
      <c r="I109" s="3007" t="s">
        <v>3530</v>
      </c>
      <c r="J109" s="3010">
        <f t="shared" si="8"/>
        <v>56156</v>
      </c>
      <c r="K109" s="3007" t="str">
        <f t="shared" si="9"/>
        <v>12层</v>
      </c>
      <c r="L109" s="3007" t="str">
        <f>$L$108</f>
        <v>6层</v>
      </c>
      <c r="N109" s="3002">
        <f t="shared" ca="1" si="7"/>
        <v>553760</v>
      </c>
    </row>
    <row r="110" spans="1:14" ht="24">
      <c r="A110" s="3007">
        <v>107</v>
      </c>
      <c r="B110" s="3007" t="s">
        <v>3166</v>
      </c>
      <c r="C110" s="3004" t="s">
        <v>3621</v>
      </c>
      <c r="D110" s="3007" t="s">
        <v>3663</v>
      </c>
      <c r="E110" s="3008" t="s">
        <v>3664</v>
      </c>
      <c r="F110" s="3011">
        <v>52.86</v>
      </c>
      <c r="G110" s="3011">
        <v>5.9</v>
      </c>
      <c r="H110" s="3004" t="s">
        <v>1373</v>
      </c>
      <c r="I110" s="3007" t="s">
        <v>3665</v>
      </c>
      <c r="J110" s="3010">
        <f t="shared" si="8"/>
        <v>56156</v>
      </c>
      <c r="K110" s="3007" t="str">
        <f t="shared" si="9"/>
        <v>12层</v>
      </c>
      <c r="L110" s="3007" t="str">
        <f t="shared" ref="L110:L128" si="11">$L$108</f>
        <v>6层</v>
      </c>
      <c r="N110" s="3002">
        <f t="shared" ca="1" si="7"/>
        <v>553656</v>
      </c>
    </row>
    <row r="111" spans="1:14" ht="24">
      <c r="A111" s="3007">
        <v>108</v>
      </c>
      <c r="B111" s="3007" t="s">
        <v>3167</v>
      </c>
      <c r="C111" s="3004" t="s">
        <v>3527</v>
      </c>
      <c r="D111" s="3007" t="s">
        <v>3666</v>
      </c>
      <c r="E111" s="3008" t="s">
        <v>3667</v>
      </c>
      <c r="F111" s="3011">
        <v>52.87</v>
      </c>
      <c r="G111" s="3011">
        <v>5.9</v>
      </c>
      <c r="H111" s="3004" t="s">
        <v>1373</v>
      </c>
      <c r="I111" s="3007" t="s">
        <v>3530</v>
      </c>
      <c r="J111" s="3010">
        <f t="shared" si="8"/>
        <v>56156</v>
      </c>
      <c r="K111" s="3007" t="str">
        <f t="shared" si="9"/>
        <v>12层</v>
      </c>
      <c r="L111" s="3007" t="str">
        <f t="shared" si="11"/>
        <v>6层</v>
      </c>
      <c r="N111" s="3002">
        <f t="shared" ca="1" si="7"/>
        <v>553760</v>
      </c>
    </row>
    <row r="112" spans="1:14" ht="24">
      <c r="A112" s="3007">
        <v>109</v>
      </c>
      <c r="B112" s="3007" t="s">
        <v>3168</v>
      </c>
      <c r="C112" s="3004" t="s">
        <v>3527</v>
      </c>
      <c r="D112" s="3007" t="s">
        <v>3668</v>
      </c>
      <c r="E112" s="3008" t="s">
        <v>3669</v>
      </c>
      <c r="F112" s="3011">
        <v>71.400000000000006</v>
      </c>
      <c r="G112" s="3011">
        <v>7.97</v>
      </c>
      <c r="H112" s="3004" t="s">
        <v>1373</v>
      </c>
      <c r="I112" s="3007" t="s">
        <v>3665</v>
      </c>
      <c r="J112" s="3010">
        <f t="shared" si="8"/>
        <v>56156</v>
      </c>
      <c r="K112" s="3007" t="str">
        <f t="shared" si="9"/>
        <v>12层</v>
      </c>
      <c r="L112" s="3007" t="str">
        <f t="shared" si="11"/>
        <v>6层</v>
      </c>
      <c r="N112" s="3002">
        <f t="shared" ca="1" si="7"/>
        <v>747844</v>
      </c>
    </row>
    <row r="113" spans="1:14" ht="24">
      <c r="A113" s="3007">
        <v>110</v>
      </c>
      <c r="B113" s="3007" t="s">
        <v>3169</v>
      </c>
      <c r="C113" s="3004" t="s">
        <v>3621</v>
      </c>
      <c r="D113" s="3007" t="s">
        <v>3670</v>
      </c>
      <c r="E113" s="3008" t="s">
        <v>3671</v>
      </c>
      <c r="F113" s="3011">
        <v>71.819999999999993</v>
      </c>
      <c r="G113" s="3011">
        <v>8.01</v>
      </c>
      <c r="H113" s="3004" t="s">
        <v>1373</v>
      </c>
      <c r="I113" s="3007" t="s">
        <v>3665</v>
      </c>
      <c r="J113" s="3010">
        <f t="shared" si="8"/>
        <v>56156</v>
      </c>
      <c r="K113" s="3007" t="str">
        <f t="shared" si="9"/>
        <v>12层</v>
      </c>
      <c r="L113" s="3007" t="str">
        <f t="shared" si="11"/>
        <v>6层</v>
      </c>
      <c r="N113" s="3002">
        <f t="shared" ca="1" si="7"/>
        <v>752243</v>
      </c>
    </row>
    <row r="114" spans="1:14" ht="24">
      <c r="A114" s="3007">
        <v>111</v>
      </c>
      <c r="B114" s="3007" t="s">
        <v>3170</v>
      </c>
      <c r="C114" s="3004" t="s">
        <v>3621</v>
      </c>
      <c r="D114" s="3007" t="s">
        <v>3672</v>
      </c>
      <c r="E114" s="3008" t="s">
        <v>3673</v>
      </c>
      <c r="F114" s="3011">
        <v>52.47</v>
      </c>
      <c r="G114" s="3011">
        <v>5.86</v>
      </c>
      <c r="H114" s="3004" t="s">
        <v>1373</v>
      </c>
      <c r="I114" s="3007" t="s">
        <v>3665</v>
      </c>
      <c r="J114" s="3010">
        <f t="shared" si="8"/>
        <v>56156</v>
      </c>
      <c r="K114" s="3007" t="str">
        <f t="shared" si="9"/>
        <v>12层</v>
      </c>
      <c r="L114" s="3007" t="str">
        <f t="shared" si="11"/>
        <v>6层</v>
      </c>
      <c r="N114" s="3002">
        <f t="shared" ca="1" si="7"/>
        <v>549571</v>
      </c>
    </row>
    <row r="115" spans="1:14" ht="24">
      <c r="A115" s="3007">
        <v>112</v>
      </c>
      <c r="B115" s="3007" t="s">
        <v>3171</v>
      </c>
      <c r="C115" s="3004" t="s">
        <v>3621</v>
      </c>
      <c r="D115" s="3007" t="s">
        <v>3674</v>
      </c>
      <c r="E115" s="3008" t="s">
        <v>3675</v>
      </c>
      <c r="F115" s="3011">
        <v>53.33</v>
      </c>
      <c r="G115" s="3011">
        <v>5.95</v>
      </c>
      <c r="H115" s="3004" t="s">
        <v>1373</v>
      </c>
      <c r="I115" s="3007" t="s">
        <v>3665</v>
      </c>
      <c r="J115" s="3010">
        <f t="shared" si="8"/>
        <v>56156</v>
      </c>
      <c r="K115" s="3007" t="str">
        <f t="shared" si="9"/>
        <v>12层</v>
      </c>
      <c r="L115" s="3007" t="str">
        <f t="shared" si="11"/>
        <v>6层</v>
      </c>
      <c r="N115" s="3002">
        <f t="shared" ca="1" si="7"/>
        <v>558578</v>
      </c>
    </row>
    <row r="116" spans="1:14" ht="24">
      <c r="A116" s="3007">
        <v>113</v>
      </c>
      <c r="B116" s="3007" t="s">
        <v>3172</v>
      </c>
      <c r="C116" s="3004" t="s">
        <v>3621</v>
      </c>
      <c r="D116" s="3007" t="s">
        <v>3676</v>
      </c>
      <c r="E116" s="3008" t="s">
        <v>3677</v>
      </c>
      <c r="F116" s="3011">
        <v>61.47</v>
      </c>
      <c r="G116" s="3011">
        <v>6.86</v>
      </c>
      <c r="H116" s="3004" t="s">
        <v>1373</v>
      </c>
      <c r="I116" s="3007" t="s">
        <v>3665</v>
      </c>
      <c r="J116" s="3010">
        <f t="shared" si="8"/>
        <v>56156</v>
      </c>
      <c r="K116" s="3007" t="str">
        <f t="shared" si="9"/>
        <v>12层</v>
      </c>
      <c r="L116" s="3007" t="str">
        <f t="shared" si="11"/>
        <v>6层</v>
      </c>
      <c r="N116" s="3002">
        <f t="shared" ca="1" si="7"/>
        <v>643837</v>
      </c>
    </row>
    <row r="117" spans="1:14" ht="24">
      <c r="A117" s="3007">
        <v>114</v>
      </c>
      <c r="B117" s="3007" t="s">
        <v>3173</v>
      </c>
      <c r="C117" s="3004" t="s">
        <v>3621</v>
      </c>
      <c r="D117" s="3007" t="s">
        <v>3678</v>
      </c>
      <c r="E117" s="3008" t="s">
        <v>3679</v>
      </c>
      <c r="F117" s="3011">
        <v>66.06</v>
      </c>
      <c r="G117" s="3011">
        <v>7.37</v>
      </c>
      <c r="H117" s="3004" t="s">
        <v>1373</v>
      </c>
      <c r="I117" s="3007" t="s">
        <v>3665</v>
      </c>
      <c r="J117" s="3010">
        <f t="shared" si="8"/>
        <v>56156</v>
      </c>
      <c r="K117" s="3007" t="str">
        <f t="shared" si="9"/>
        <v>12层</v>
      </c>
      <c r="L117" s="3007" t="str">
        <f t="shared" si="11"/>
        <v>6层</v>
      </c>
      <c r="N117" s="3002">
        <f t="shared" ca="1" si="7"/>
        <v>691912</v>
      </c>
    </row>
    <row r="118" spans="1:14" ht="24">
      <c r="A118" s="3007">
        <v>115</v>
      </c>
      <c r="B118" s="3007" t="s">
        <v>3174</v>
      </c>
      <c r="C118" s="3004" t="s">
        <v>3621</v>
      </c>
      <c r="D118" s="3007" t="s">
        <v>3680</v>
      </c>
      <c r="E118" s="3008" t="s">
        <v>3681</v>
      </c>
      <c r="F118" s="3011">
        <v>60.87</v>
      </c>
      <c r="G118" s="3011">
        <v>6.79</v>
      </c>
      <c r="H118" s="3004" t="s">
        <v>1373</v>
      </c>
      <c r="I118" s="3007" t="s">
        <v>3665</v>
      </c>
      <c r="J118" s="3010">
        <f t="shared" si="8"/>
        <v>56156</v>
      </c>
      <c r="K118" s="3007" t="str">
        <f t="shared" si="9"/>
        <v>12层</v>
      </c>
      <c r="L118" s="3007" t="str">
        <f t="shared" si="11"/>
        <v>6层</v>
      </c>
      <c r="N118" s="3002">
        <f t="shared" ca="1" si="7"/>
        <v>637552</v>
      </c>
    </row>
    <row r="119" spans="1:14" ht="24">
      <c r="A119" s="3007">
        <v>116</v>
      </c>
      <c r="B119" s="3007" t="s">
        <v>3175</v>
      </c>
      <c r="C119" s="3004" t="s">
        <v>3621</v>
      </c>
      <c r="D119" s="3007" t="s">
        <v>3682</v>
      </c>
      <c r="E119" s="3008" t="s">
        <v>3683</v>
      </c>
      <c r="F119" s="3011">
        <v>53.25</v>
      </c>
      <c r="G119" s="3011">
        <v>5.94</v>
      </c>
      <c r="H119" s="3004" t="s">
        <v>1373</v>
      </c>
      <c r="I119" s="3007" t="s">
        <v>3665</v>
      </c>
      <c r="J119" s="3010">
        <f t="shared" si="8"/>
        <v>56156</v>
      </c>
      <c r="K119" s="3007" t="str">
        <f t="shared" si="9"/>
        <v>12层</v>
      </c>
      <c r="L119" s="3007" t="str">
        <f t="shared" si="11"/>
        <v>6层</v>
      </c>
      <c r="N119" s="3002">
        <f t="shared" ca="1" si="7"/>
        <v>557741</v>
      </c>
    </row>
    <row r="120" spans="1:14" ht="24">
      <c r="A120" s="3007">
        <v>117</v>
      </c>
      <c r="B120" s="3007" t="s">
        <v>3176</v>
      </c>
      <c r="C120" s="3004" t="s">
        <v>3621</v>
      </c>
      <c r="D120" s="3007" t="s">
        <v>3684</v>
      </c>
      <c r="E120" s="3008" t="s">
        <v>3685</v>
      </c>
      <c r="F120" s="3011">
        <v>53.19</v>
      </c>
      <c r="G120" s="3011">
        <v>5.94</v>
      </c>
      <c r="H120" s="3004" t="s">
        <v>1373</v>
      </c>
      <c r="I120" s="3007" t="s">
        <v>3665</v>
      </c>
      <c r="J120" s="3010">
        <f t="shared" si="8"/>
        <v>56156</v>
      </c>
      <c r="K120" s="3007" t="str">
        <f t="shared" si="9"/>
        <v>12层</v>
      </c>
      <c r="L120" s="3007" t="str">
        <f t="shared" si="11"/>
        <v>6层</v>
      </c>
      <c r="N120" s="3002">
        <f t="shared" ca="1" si="7"/>
        <v>557112</v>
      </c>
    </row>
    <row r="121" spans="1:14" ht="24">
      <c r="A121" s="3007">
        <v>118</v>
      </c>
      <c r="B121" s="3007" t="s">
        <v>3177</v>
      </c>
      <c r="C121" s="3004" t="s">
        <v>3621</v>
      </c>
      <c r="D121" s="3007" t="s">
        <v>3686</v>
      </c>
      <c r="E121" s="3008" t="s">
        <v>3687</v>
      </c>
      <c r="F121" s="3011">
        <v>53.19</v>
      </c>
      <c r="G121" s="3011">
        <v>5.94</v>
      </c>
      <c r="H121" s="3004" t="s">
        <v>1373</v>
      </c>
      <c r="I121" s="3007" t="s">
        <v>3440</v>
      </c>
      <c r="J121" s="3010">
        <f t="shared" si="8"/>
        <v>56156</v>
      </c>
      <c r="K121" s="3007" t="str">
        <f t="shared" si="9"/>
        <v>12层</v>
      </c>
      <c r="L121" s="3007" t="str">
        <f t="shared" si="11"/>
        <v>6层</v>
      </c>
      <c r="N121" s="3002">
        <f t="shared" ca="1" si="7"/>
        <v>557112</v>
      </c>
    </row>
    <row r="122" spans="1:14" ht="24">
      <c r="A122" s="3007">
        <v>119</v>
      </c>
      <c r="B122" s="3007" t="s">
        <v>3178</v>
      </c>
      <c r="C122" s="3004" t="s">
        <v>3477</v>
      </c>
      <c r="D122" s="3007" t="s">
        <v>3688</v>
      </c>
      <c r="E122" s="3008" t="s">
        <v>3689</v>
      </c>
      <c r="F122" s="3011">
        <v>53.17</v>
      </c>
      <c r="G122" s="3011">
        <v>5.93</v>
      </c>
      <c r="H122" s="3004" t="s">
        <v>1373</v>
      </c>
      <c r="I122" s="3007" t="s">
        <v>3440</v>
      </c>
      <c r="J122" s="3010">
        <f t="shared" si="8"/>
        <v>56156</v>
      </c>
      <c r="K122" s="3007" t="str">
        <f t="shared" si="9"/>
        <v>12层</v>
      </c>
      <c r="L122" s="3007" t="str">
        <f t="shared" si="11"/>
        <v>6层</v>
      </c>
      <c r="N122" s="3002">
        <f t="shared" ca="1" si="7"/>
        <v>556903</v>
      </c>
    </row>
    <row r="123" spans="1:14" ht="24">
      <c r="A123" s="3007">
        <v>120</v>
      </c>
      <c r="B123" s="3007" t="s">
        <v>3179</v>
      </c>
      <c r="C123" s="3004" t="s">
        <v>3477</v>
      </c>
      <c r="D123" s="3007" t="s">
        <v>3690</v>
      </c>
      <c r="E123" s="3008" t="s">
        <v>3691</v>
      </c>
      <c r="F123" s="3011">
        <v>73.2</v>
      </c>
      <c r="G123" s="3011">
        <v>8.17</v>
      </c>
      <c r="H123" s="3004" t="s">
        <v>1373</v>
      </c>
      <c r="I123" s="3007" t="s">
        <v>3440</v>
      </c>
      <c r="J123" s="3010">
        <f t="shared" si="8"/>
        <v>56156</v>
      </c>
      <c r="K123" s="3007" t="str">
        <f t="shared" si="9"/>
        <v>12层</v>
      </c>
      <c r="L123" s="3007" t="str">
        <f t="shared" si="11"/>
        <v>6层</v>
      </c>
      <c r="N123" s="3002">
        <f t="shared" ca="1" si="7"/>
        <v>766697</v>
      </c>
    </row>
    <row r="124" spans="1:14" ht="24">
      <c r="A124" s="3007">
        <v>121</v>
      </c>
      <c r="B124" s="3007" t="s">
        <v>3180</v>
      </c>
      <c r="C124" s="3004" t="s">
        <v>3477</v>
      </c>
      <c r="D124" s="3007" t="s">
        <v>3692</v>
      </c>
      <c r="E124" s="3008" t="s">
        <v>3693</v>
      </c>
      <c r="F124" s="3011">
        <v>72.569999999999993</v>
      </c>
      <c r="G124" s="3011">
        <v>8.1</v>
      </c>
      <c r="H124" s="3004" t="s">
        <v>1373</v>
      </c>
      <c r="I124" s="3007" t="s">
        <v>3440</v>
      </c>
      <c r="J124" s="3010">
        <f t="shared" si="8"/>
        <v>56156</v>
      </c>
      <c r="K124" s="3007" t="str">
        <f t="shared" si="9"/>
        <v>12层</v>
      </c>
      <c r="L124" s="3007" t="str">
        <f t="shared" si="11"/>
        <v>6层</v>
      </c>
      <c r="N124" s="3002">
        <f t="shared" ca="1" si="7"/>
        <v>760098</v>
      </c>
    </row>
    <row r="125" spans="1:14" ht="24">
      <c r="A125" s="3007">
        <v>122</v>
      </c>
      <c r="B125" s="3007" t="s">
        <v>3181</v>
      </c>
      <c r="C125" s="3004" t="s">
        <v>3477</v>
      </c>
      <c r="D125" s="3007" t="s">
        <v>3694</v>
      </c>
      <c r="E125" s="3008" t="s">
        <v>3695</v>
      </c>
      <c r="F125" s="3011">
        <v>53.17</v>
      </c>
      <c r="G125" s="3011">
        <v>5.93</v>
      </c>
      <c r="H125" s="3004" t="s">
        <v>1373</v>
      </c>
      <c r="I125" s="3007" t="s">
        <v>3440</v>
      </c>
      <c r="J125" s="3010">
        <f t="shared" si="8"/>
        <v>56156</v>
      </c>
      <c r="K125" s="3007" t="str">
        <f t="shared" si="9"/>
        <v>12层</v>
      </c>
      <c r="L125" s="3007" t="str">
        <f t="shared" si="11"/>
        <v>6层</v>
      </c>
      <c r="N125" s="3002">
        <f t="shared" ca="1" si="7"/>
        <v>556903</v>
      </c>
    </row>
    <row r="126" spans="1:14" ht="24">
      <c r="A126" s="3007">
        <v>123</v>
      </c>
      <c r="B126" s="3007" t="s">
        <v>3182</v>
      </c>
      <c r="C126" s="3004" t="s">
        <v>3477</v>
      </c>
      <c r="D126" s="3007" t="s">
        <v>3696</v>
      </c>
      <c r="E126" s="3008" t="s">
        <v>3697</v>
      </c>
      <c r="F126" s="3011">
        <v>53.19</v>
      </c>
      <c r="G126" s="3011">
        <v>5.94</v>
      </c>
      <c r="H126" s="3004" t="s">
        <v>1373</v>
      </c>
      <c r="I126" s="3007" t="s">
        <v>3440</v>
      </c>
      <c r="J126" s="3010">
        <f t="shared" si="8"/>
        <v>56156</v>
      </c>
      <c r="K126" s="3007" t="str">
        <f t="shared" si="9"/>
        <v>12层</v>
      </c>
      <c r="L126" s="3007" t="str">
        <f t="shared" si="11"/>
        <v>6层</v>
      </c>
      <c r="N126" s="3002">
        <f t="shared" ca="1" si="7"/>
        <v>557112</v>
      </c>
    </row>
    <row r="127" spans="1:14" ht="24">
      <c r="A127" s="3007">
        <v>124</v>
      </c>
      <c r="B127" s="3007" t="s">
        <v>3183</v>
      </c>
      <c r="C127" s="3004" t="s">
        <v>3477</v>
      </c>
      <c r="D127" s="3007" t="s">
        <v>3698</v>
      </c>
      <c r="E127" s="3008" t="s">
        <v>3699</v>
      </c>
      <c r="F127" s="3011">
        <v>52.53</v>
      </c>
      <c r="G127" s="3011">
        <v>5.86</v>
      </c>
      <c r="H127" s="3004" t="s">
        <v>1373</v>
      </c>
      <c r="I127" s="3007" t="s">
        <v>3563</v>
      </c>
      <c r="J127" s="3010">
        <f t="shared" si="8"/>
        <v>56156</v>
      </c>
      <c r="K127" s="3007" t="str">
        <f t="shared" si="9"/>
        <v>12层</v>
      </c>
      <c r="L127" s="3007" t="str">
        <f t="shared" si="11"/>
        <v>6层</v>
      </c>
      <c r="N127" s="3002">
        <f t="shared" ca="1" si="7"/>
        <v>550199</v>
      </c>
    </row>
    <row r="128" spans="1:14" ht="24">
      <c r="A128" s="3007">
        <v>125</v>
      </c>
      <c r="B128" s="3007" t="s">
        <v>3184</v>
      </c>
      <c r="C128" s="3004" t="s">
        <v>3564</v>
      </c>
      <c r="D128" s="3007" t="s">
        <v>3700</v>
      </c>
      <c r="E128" s="3008" t="s">
        <v>3701</v>
      </c>
      <c r="F128" s="3011">
        <v>64.930000000000007</v>
      </c>
      <c r="G128" s="3011">
        <v>7.25</v>
      </c>
      <c r="H128" s="3004" t="s">
        <v>1373</v>
      </c>
      <c r="I128" s="3007" t="s">
        <v>3563</v>
      </c>
      <c r="J128" s="3010">
        <f t="shared" si="8"/>
        <v>56156</v>
      </c>
      <c r="K128" s="3007" t="str">
        <f t="shared" si="9"/>
        <v>12层</v>
      </c>
      <c r="L128" s="3007" t="str">
        <f t="shared" si="11"/>
        <v>6层</v>
      </c>
      <c r="N128" s="3002">
        <f t="shared" ca="1" si="7"/>
        <v>680077</v>
      </c>
    </row>
    <row r="129" spans="1:14" ht="24">
      <c r="A129" s="3007">
        <v>126</v>
      </c>
      <c r="B129" s="3007" t="s">
        <v>3185</v>
      </c>
      <c r="C129" s="3004" t="s">
        <v>3564</v>
      </c>
      <c r="D129" s="3007" t="s">
        <v>3702</v>
      </c>
      <c r="E129" s="3008" t="s">
        <v>3703</v>
      </c>
      <c r="F129" s="3011">
        <v>51.1</v>
      </c>
      <c r="G129" s="3011">
        <v>5.7</v>
      </c>
      <c r="H129" s="3004" t="s">
        <v>1373</v>
      </c>
      <c r="I129" s="3007" t="s">
        <v>3563</v>
      </c>
      <c r="J129" s="3010">
        <f t="shared" si="8"/>
        <v>56156</v>
      </c>
      <c r="K129" s="3007" t="str">
        <f t="shared" si="9"/>
        <v>12层</v>
      </c>
      <c r="L129" s="3007" t="s">
        <v>3704</v>
      </c>
      <c r="N129" s="3002">
        <f t="shared" ca="1" si="7"/>
        <v>535221</v>
      </c>
    </row>
    <row r="130" spans="1:14" ht="24">
      <c r="A130" s="3007">
        <v>127</v>
      </c>
      <c r="B130" s="3007" t="s">
        <v>3186</v>
      </c>
      <c r="C130" s="3004" t="s">
        <v>3564</v>
      </c>
      <c r="D130" s="3007" t="s">
        <v>3705</v>
      </c>
      <c r="E130" s="3008" t="s">
        <v>3706</v>
      </c>
      <c r="F130" s="3011">
        <v>52.87</v>
      </c>
      <c r="G130" s="3011">
        <v>5.9</v>
      </c>
      <c r="H130" s="3004" t="s">
        <v>1373</v>
      </c>
      <c r="I130" s="3007" t="s">
        <v>3563</v>
      </c>
      <c r="J130" s="3010">
        <f t="shared" si="8"/>
        <v>56156</v>
      </c>
      <c r="K130" s="3007" t="str">
        <f t="shared" si="9"/>
        <v>12层</v>
      </c>
      <c r="L130" s="3007" t="str">
        <f>$L$129</f>
        <v>7层</v>
      </c>
      <c r="N130" s="3002">
        <f t="shared" ca="1" si="7"/>
        <v>553760</v>
      </c>
    </row>
    <row r="131" spans="1:14" ht="24">
      <c r="A131" s="3007">
        <v>128</v>
      </c>
      <c r="B131" s="3007" t="s">
        <v>3187</v>
      </c>
      <c r="C131" s="3004" t="s">
        <v>3477</v>
      </c>
      <c r="D131" s="3007" t="s">
        <v>3707</v>
      </c>
      <c r="E131" s="3008" t="s">
        <v>3708</v>
      </c>
      <c r="F131" s="3011">
        <v>52.86</v>
      </c>
      <c r="G131" s="3011">
        <v>5.9</v>
      </c>
      <c r="H131" s="3004" t="s">
        <v>1373</v>
      </c>
      <c r="I131" s="3007" t="s">
        <v>3563</v>
      </c>
      <c r="J131" s="3010">
        <f t="shared" si="8"/>
        <v>56156</v>
      </c>
      <c r="K131" s="3007" t="str">
        <f t="shared" si="9"/>
        <v>12层</v>
      </c>
      <c r="L131" s="3007" t="str">
        <f t="shared" ref="L131:L149" si="12">$L$129</f>
        <v>7层</v>
      </c>
      <c r="N131" s="3002">
        <f t="shared" ca="1" si="7"/>
        <v>553656</v>
      </c>
    </row>
    <row r="132" spans="1:14" ht="24">
      <c r="A132" s="3007">
        <v>129</v>
      </c>
      <c r="B132" s="3007" t="s">
        <v>3188</v>
      </c>
      <c r="C132" s="3004" t="s">
        <v>3477</v>
      </c>
      <c r="D132" s="3007" t="s">
        <v>3709</v>
      </c>
      <c r="E132" s="3008" t="s">
        <v>3710</v>
      </c>
      <c r="F132" s="3011">
        <v>52.87</v>
      </c>
      <c r="G132" s="3011">
        <v>5.9</v>
      </c>
      <c r="H132" s="3004" t="s">
        <v>1373</v>
      </c>
      <c r="I132" s="3007" t="s">
        <v>3440</v>
      </c>
      <c r="J132" s="3010">
        <f t="shared" si="8"/>
        <v>56156</v>
      </c>
      <c r="K132" s="3007" t="str">
        <f t="shared" si="9"/>
        <v>12层</v>
      </c>
      <c r="L132" s="3007" t="str">
        <f t="shared" si="12"/>
        <v>7层</v>
      </c>
      <c r="N132" s="3002">
        <f t="shared" ca="1" si="7"/>
        <v>553760</v>
      </c>
    </row>
    <row r="133" spans="1:14" ht="24">
      <c r="A133" s="3007">
        <v>130</v>
      </c>
      <c r="B133" s="3007" t="s">
        <v>3189</v>
      </c>
      <c r="C133" s="3004" t="s">
        <v>3477</v>
      </c>
      <c r="D133" s="3007" t="s">
        <v>3711</v>
      </c>
      <c r="E133" s="3008" t="s">
        <v>3712</v>
      </c>
      <c r="F133" s="3011">
        <v>71.400000000000006</v>
      </c>
      <c r="G133" s="3011">
        <v>7.97</v>
      </c>
      <c r="H133" s="3004" t="s">
        <v>1373</v>
      </c>
      <c r="I133" s="3007" t="s">
        <v>3440</v>
      </c>
      <c r="J133" s="3010">
        <f t="shared" si="8"/>
        <v>56156</v>
      </c>
      <c r="K133" s="3007" t="str">
        <f t="shared" si="9"/>
        <v>12层</v>
      </c>
      <c r="L133" s="3007" t="str">
        <f t="shared" si="12"/>
        <v>7层</v>
      </c>
      <c r="N133" s="3002">
        <f t="shared" ref="N133:N196" ca="1" si="13">ROUND(F133*$M$4,0)</f>
        <v>747844</v>
      </c>
    </row>
    <row r="134" spans="1:14" ht="24">
      <c r="A134" s="3007">
        <v>131</v>
      </c>
      <c r="B134" s="3007" t="s">
        <v>3190</v>
      </c>
      <c r="C134" s="3004" t="s">
        <v>3477</v>
      </c>
      <c r="D134" s="3007" t="s">
        <v>3713</v>
      </c>
      <c r="E134" s="3008" t="s">
        <v>3714</v>
      </c>
      <c r="F134" s="3011">
        <v>71.819999999999993</v>
      </c>
      <c r="G134" s="3011">
        <v>8.01</v>
      </c>
      <c r="H134" s="3004" t="s">
        <v>1373</v>
      </c>
      <c r="I134" s="3007" t="s">
        <v>3440</v>
      </c>
      <c r="J134" s="3010">
        <f t="shared" ref="J134:J197" si="14">$J$4</f>
        <v>56156</v>
      </c>
      <c r="K134" s="3007" t="str">
        <f t="shared" ref="K134:K197" si="15">$K$4</f>
        <v>12层</v>
      </c>
      <c r="L134" s="3007" t="str">
        <f t="shared" si="12"/>
        <v>7层</v>
      </c>
      <c r="N134" s="3002">
        <f t="shared" ca="1" si="13"/>
        <v>752243</v>
      </c>
    </row>
    <row r="135" spans="1:14" ht="24">
      <c r="A135" s="3007">
        <v>132</v>
      </c>
      <c r="B135" s="3007" t="s">
        <v>3191</v>
      </c>
      <c r="C135" s="3004" t="s">
        <v>3621</v>
      </c>
      <c r="D135" s="3007" t="s">
        <v>3715</v>
      </c>
      <c r="E135" s="3008" t="s">
        <v>3716</v>
      </c>
      <c r="F135" s="3011">
        <v>52.47</v>
      </c>
      <c r="G135" s="3011">
        <v>5.86</v>
      </c>
      <c r="H135" s="3004" t="s">
        <v>1373</v>
      </c>
      <c r="I135" s="3007" t="s">
        <v>3665</v>
      </c>
      <c r="J135" s="3010">
        <f t="shared" si="14"/>
        <v>56156</v>
      </c>
      <c r="K135" s="3007" t="str">
        <f t="shared" si="15"/>
        <v>12层</v>
      </c>
      <c r="L135" s="3007" t="str">
        <f t="shared" si="12"/>
        <v>7层</v>
      </c>
      <c r="N135" s="3002">
        <f t="shared" ca="1" si="13"/>
        <v>549571</v>
      </c>
    </row>
    <row r="136" spans="1:14" ht="24">
      <c r="A136" s="3007">
        <v>133</v>
      </c>
      <c r="B136" s="3007" t="s">
        <v>3192</v>
      </c>
      <c r="C136" s="3004" t="s">
        <v>3621</v>
      </c>
      <c r="D136" s="3007" t="s">
        <v>3717</v>
      </c>
      <c r="E136" s="3008" t="s">
        <v>3718</v>
      </c>
      <c r="F136" s="3011">
        <v>53.33</v>
      </c>
      <c r="G136" s="3011">
        <v>5.95</v>
      </c>
      <c r="H136" s="3004" t="s">
        <v>1373</v>
      </c>
      <c r="I136" s="3007" t="s">
        <v>3665</v>
      </c>
      <c r="J136" s="3010">
        <f t="shared" si="14"/>
        <v>56156</v>
      </c>
      <c r="K136" s="3007" t="str">
        <f t="shared" si="15"/>
        <v>12层</v>
      </c>
      <c r="L136" s="3007" t="str">
        <f t="shared" si="12"/>
        <v>7层</v>
      </c>
      <c r="N136" s="3002">
        <f t="shared" ca="1" si="13"/>
        <v>558578</v>
      </c>
    </row>
    <row r="137" spans="1:14" ht="24">
      <c r="A137" s="3007">
        <v>134</v>
      </c>
      <c r="B137" s="3007" t="s">
        <v>3193</v>
      </c>
      <c r="C137" s="3004" t="s">
        <v>3621</v>
      </c>
      <c r="D137" s="3007" t="s">
        <v>3719</v>
      </c>
      <c r="E137" s="3008" t="s">
        <v>3720</v>
      </c>
      <c r="F137" s="3011">
        <v>61.47</v>
      </c>
      <c r="G137" s="3011">
        <v>6.86</v>
      </c>
      <c r="H137" s="3004" t="s">
        <v>1373</v>
      </c>
      <c r="I137" s="3007" t="s">
        <v>3665</v>
      </c>
      <c r="J137" s="3010">
        <f t="shared" si="14"/>
        <v>56156</v>
      </c>
      <c r="K137" s="3007" t="str">
        <f t="shared" si="15"/>
        <v>12层</v>
      </c>
      <c r="L137" s="3007" t="str">
        <f t="shared" si="12"/>
        <v>7层</v>
      </c>
      <c r="N137" s="3002">
        <f t="shared" ca="1" si="13"/>
        <v>643837</v>
      </c>
    </row>
    <row r="138" spans="1:14" ht="24">
      <c r="A138" s="3007">
        <v>135</v>
      </c>
      <c r="B138" s="3007" t="s">
        <v>3194</v>
      </c>
      <c r="C138" s="3004" t="s">
        <v>3621</v>
      </c>
      <c r="D138" s="3007" t="s">
        <v>3721</v>
      </c>
      <c r="E138" s="3008" t="s">
        <v>3722</v>
      </c>
      <c r="F138" s="3011">
        <v>66.06</v>
      </c>
      <c r="G138" s="3011">
        <v>7.37</v>
      </c>
      <c r="H138" s="3004" t="s">
        <v>1373</v>
      </c>
      <c r="I138" s="3007" t="s">
        <v>3665</v>
      </c>
      <c r="J138" s="3010">
        <f t="shared" si="14"/>
        <v>56156</v>
      </c>
      <c r="K138" s="3007" t="str">
        <f t="shared" si="15"/>
        <v>12层</v>
      </c>
      <c r="L138" s="3007" t="str">
        <f t="shared" si="12"/>
        <v>7层</v>
      </c>
      <c r="N138" s="3002">
        <f t="shared" ca="1" si="13"/>
        <v>691912</v>
      </c>
    </row>
    <row r="139" spans="1:14" ht="24">
      <c r="A139" s="3007">
        <v>136</v>
      </c>
      <c r="B139" s="3007" t="s">
        <v>3195</v>
      </c>
      <c r="C139" s="3004" t="s">
        <v>3621</v>
      </c>
      <c r="D139" s="3007" t="s">
        <v>3723</v>
      </c>
      <c r="E139" s="3008" t="s">
        <v>3724</v>
      </c>
      <c r="F139" s="3011">
        <v>60.87</v>
      </c>
      <c r="G139" s="3011">
        <v>6.79</v>
      </c>
      <c r="H139" s="3004" t="s">
        <v>1373</v>
      </c>
      <c r="I139" s="3007" t="s">
        <v>3665</v>
      </c>
      <c r="J139" s="3010">
        <f t="shared" si="14"/>
        <v>56156</v>
      </c>
      <c r="K139" s="3007" t="str">
        <f t="shared" si="15"/>
        <v>12层</v>
      </c>
      <c r="L139" s="3007" t="str">
        <f t="shared" si="12"/>
        <v>7层</v>
      </c>
      <c r="N139" s="3002">
        <f t="shared" ca="1" si="13"/>
        <v>637552</v>
      </c>
    </row>
    <row r="140" spans="1:14" ht="24">
      <c r="A140" s="3007">
        <v>137</v>
      </c>
      <c r="B140" s="3007" t="s">
        <v>3196</v>
      </c>
      <c r="C140" s="3004" t="s">
        <v>3621</v>
      </c>
      <c r="D140" s="3007" t="s">
        <v>3725</v>
      </c>
      <c r="E140" s="3008" t="s">
        <v>3726</v>
      </c>
      <c r="F140" s="3011">
        <v>53.25</v>
      </c>
      <c r="G140" s="3011">
        <v>5.94</v>
      </c>
      <c r="H140" s="3004" t="s">
        <v>1373</v>
      </c>
      <c r="I140" s="3007" t="s">
        <v>3440</v>
      </c>
      <c r="J140" s="3010">
        <f t="shared" si="14"/>
        <v>56156</v>
      </c>
      <c r="K140" s="3007" t="str">
        <f t="shared" si="15"/>
        <v>12层</v>
      </c>
      <c r="L140" s="3007" t="str">
        <f t="shared" si="12"/>
        <v>7层</v>
      </c>
      <c r="N140" s="3002">
        <f t="shared" ca="1" si="13"/>
        <v>557741</v>
      </c>
    </row>
    <row r="141" spans="1:14" ht="24">
      <c r="A141" s="3007">
        <v>138</v>
      </c>
      <c r="B141" s="3007" t="s">
        <v>3197</v>
      </c>
      <c r="C141" s="3004" t="s">
        <v>3477</v>
      </c>
      <c r="D141" s="3007" t="s">
        <v>3727</v>
      </c>
      <c r="E141" s="3008" t="s">
        <v>3728</v>
      </c>
      <c r="F141" s="3011">
        <v>53.19</v>
      </c>
      <c r="G141" s="3011">
        <v>5.94</v>
      </c>
      <c r="H141" s="3004" t="s">
        <v>1373</v>
      </c>
      <c r="I141" s="3007" t="s">
        <v>3440</v>
      </c>
      <c r="J141" s="3010">
        <f t="shared" si="14"/>
        <v>56156</v>
      </c>
      <c r="K141" s="3007" t="str">
        <f t="shared" si="15"/>
        <v>12层</v>
      </c>
      <c r="L141" s="3007" t="str">
        <f t="shared" si="12"/>
        <v>7层</v>
      </c>
      <c r="N141" s="3002">
        <f t="shared" ca="1" si="13"/>
        <v>557112</v>
      </c>
    </row>
    <row r="142" spans="1:14" ht="24">
      <c r="A142" s="3007">
        <v>139</v>
      </c>
      <c r="B142" s="3007" t="s">
        <v>3198</v>
      </c>
      <c r="C142" s="3004" t="s">
        <v>3477</v>
      </c>
      <c r="D142" s="3007" t="s">
        <v>3729</v>
      </c>
      <c r="E142" s="3008" t="s">
        <v>3730</v>
      </c>
      <c r="F142" s="3011">
        <v>53.19</v>
      </c>
      <c r="G142" s="3011">
        <v>5.94</v>
      </c>
      <c r="H142" s="3004" t="s">
        <v>1373</v>
      </c>
      <c r="I142" s="3007" t="s">
        <v>3440</v>
      </c>
      <c r="J142" s="3010">
        <f t="shared" si="14"/>
        <v>56156</v>
      </c>
      <c r="K142" s="3007" t="str">
        <f t="shared" si="15"/>
        <v>12层</v>
      </c>
      <c r="L142" s="3007" t="str">
        <f t="shared" si="12"/>
        <v>7层</v>
      </c>
      <c r="N142" s="3002">
        <f t="shared" ca="1" si="13"/>
        <v>557112</v>
      </c>
    </row>
    <row r="143" spans="1:14" ht="24">
      <c r="A143" s="3007">
        <v>140</v>
      </c>
      <c r="B143" s="3007" t="s">
        <v>3199</v>
      </c>
      <c r="C143" s="3004" t="s">
        <v>3477</v>
      </c>
      <c r="D143" s="3007" t="s">
        <v>3731</v>
      </c>
      <c r="E143" s="3008" t="s">
        <v>3732</v>
      </c>
      <c r="F143" s="3011">
        <v>53.17</v>
      </c>
      <c r="G143" s="3011">
        <v>5.93</v>
      </c>
      <c r="H143" s="3004" t="s">
        <v>1373</v>
      </c>
      <c r="I143" s="3007" t="s">
        <v>3440</v>
      </c>
      <c r="J143" s="3010">
        <f t="shared" si="14"/>
        <v>56156</v>
      </c>
      <c r="K143" s="3007" t="str">
        <f t="shared" si="15"/>
        <v>12层</v>
      </c>
      <c r="L143" s="3007" t="str">
        <f t="shared" si="12"/>
        <v>7层</v>
      </c>
      <c r="N143" s="3002">
        <f t="shared" ca="1" si="13"/>
        <v>556903</v>
      </c>
    </row>
    <row r="144" spans="1:14" ht="24">
      <c r="A144" s="3007">
        <v>141</v>
      </c>
      <c r="B144" s="3007" t="s">
        <v>3200</v>
      </c>
      <c r="C144" s="3004" t="s">
        <v>3477</v>
      </c>
      <c r="D144" s="3007" t="s">
        <v>3733</v>
      </c>
      <c r="E144" s="3008" t="s">
        <v>3734</v>
      </c>
      <c r="F144" s="3011">
        <v>73.2</v>
      </c>
      <c r="G144" s="3011">
        <v>8.17</v>
      </c>
      <c r="H144" s="3004" t="s">
        <v>1373</v>
      </c>
      <c r="I144" s="3007" t="s">
        <v>3440</v>
      </c>
      <c r="J144" s="3010">
        <f t="shared" si="14"/>
        <v>56156</v>
      </c>
      <c r="K144" s="3007" t="str">
        <f t="shared" si="15"/>
        <v>12层</v>
      </c>
      <c r="L144" s="3007" t="str">
        <f t="shared" si="12"/>
        <v>7层</v>
      </c>
      <c r="N144" s="3002">
        <f t="shared" ca="1" si="13"/>
        <v>766697</v>
      </c>
    </row>
    <row r="145" spans="1:14" ht="24">
      <c r="A145" s="3007">
        <v>142</v>
      </c>
      <c r="B145" s="3007" t="s">
        <v>3201</v>
      </c>
      <c r="C145" s="3004" t="s">
        <v>3477</v>
      </c>
      <c r="D145" s="3007" t="s">
        <v>3735</v>
      </c>
      <c r="E145" s="3008" t="s">
        <v>3736</v>
      </c>
      <c r="F145" s="3011">
        <v>72.569999999999993</v>
      </c>
      <c r="G145" s="3011">
        <v>8.1</v>
      </c>
      <c r="H145" s="3004" t="s">
        <v>1373</v>
      </c>
      <c r="I145" s="3007" t="s">
        <v>3440</v>
      </c>
      <c r="J145" s="3010">
        <f t="shared" si="14"/>
        <v>56156</v>
      </c>
      <c r="K145" s="3007" t="str">
        <f t="shared" si="15"/>
        <v>12层</v>
      </c>
      <c r="L145" s="3007" t="str">
        <f t="shared" si="12"/>
        <v>7层</v>
      </c>
      <c r="N145" s="3002">
        <f t="shared" ca="1" si="13"/>
        <v>760098</v>
      </c>
    </row>
    <row r="146" spans="1:14" ht="24">
      <c r="A146" s="3007">
        <v>143</v>
      </c>
      <c r="B146" s="3007" t="s">
        <v>3202</v>
      </c>
      <c r="C146" s="3004" t="s">
        <v>3477</v>
      </c>
      <c r="D146" s="3007" t="s">
        <v>3737</v>
      </c>
      <c r="E146" s="3008" t="s">
        <v>3738</v>
      </c>
      <c r="F146" s="3011">
        <v>53.17</v>
      </c>
      <c r="G146" s="3011">
        <v>5.93</v>
      </c>
      <c r="H146" s="3004" t="s">
        <v>1373</v>
      </c>
      <c r="I146" s="3007" t="s">
        <v>3440</v>
      </c>
      <c r="J146" s="3010">
        <f t="shared" si="14"/>
        <v>56156</v>
      </c>
      <c r="K146" s="3007" t="str">
        <f t="shared" si="15"/>
        <v>12层</v>
      </c>
      <c r="L146" s="3007" t="str">
        <f t="shared" si="12"/>
        <v>7层</v>
      </c>
      <c r="N146" s="3002">
        <f t="shared" ca="1" si="13"/>
        <v>556903</v>
      </c>
    </row>
    <row r="147" spans="1:14" ht="24">
      <c r="A147" s="3007">
        <v>144</v>
      </c>
      <c r="B147" s="3007" t="s">
        <v>3203</v>
      </c>
      <c r="C147" s="3004" t="s">
        <v>3477</v>
      </c>
      <c r="D147" s="3007" t="s">
        <v>3739</v>
      </c>
      <c r="E147" s="3008" t="s">
        <v>3740</v>
      </c>
      <c r="F147" s="3011">
        <v>53.19</v>
      </c>
      <c r="G147" s="3011">
        <v>5.94</v>
      </c>
      <c r="H147" s="3004" t="s">
        <v>1373</v>
      </c>
      <c r="I147" s="3007" t="s">
        <v>3440</v>
      </c>
      <c r="J147" s="3010">
        <f t="shared" si="14"/>
        <v>56156</v>
      </c>
      <c r="K147" s="3007" t="str">
        <f t="shared" si="15"/>
        <v>12层</v>
      </c>
      <c r="L147" s="3007" t="str">
        <f t="shared" si="12"/>
        <v>7层</v>
      </c>
      <c r="N147" s="3002">
        <f t="shared" ca="1" si="13"/>
        <v>557112</v>
      </c>
    </row>
    <row r="148" spans="1:14" ht="24">
      <c r="A148" s="3007">
        <v>145</v>
      </c>
      <c r="B148" s="3007" t="s">
        <v>3204</v>
      </c>
      <c r="C148" s="3004" t="s">
        <v>3477</v>
      </c>
      <c r="D148" s="3007" t="s">
        <v>3741</v>
      </c>
      <c r="E148" s="3008" t="s">
        <v>3742</v>
      </c>
      <c r="F148" s="3011">
        <v>52.53</v>
      </c>
      <c r="G148" s="3011">
        <v>5.86</v>
      </c>
      <c r="H148" s="3004" t="s">
        <v>1373</v>
      </c>
      <c r="I148" s="3007" t="s">
        <v>3440</v>
      </c>
      <c r="J148" s="3010">
        <f t="shared" si="14"/>
        <v>56156</v>
      </c>
      <c r="K148" s="3007" t="str">
        <f t="shared" si="15"/>
        <v>12层</v>
      </c>
      <c r="L148" s="3007" t="str">
        <f t="shared" si="12"/>
        <v>7层</v>
      </c>
      <c r="N148" s="3002">
        <f t="shared" ca="1" si="13"/>
        <v>550199</v>
      </c>
    </row>
    <row r="149" spans="1:14" ht="24">
      <c r="A149" s="3007">
        <v>146</v>
      </c>
      <c r="B149" s="3007" t="s">
        <v>3205</v>
      </c>
      <c r="C149" s="3004" t="s">
        <v>3477</v>
      </c>
      <c r="D149" s="3007" t="s">
        <v>3743</v>
      </c>
      <c r="E149" s="3008" t="s">
        <v>3744</v>
      </c>
      <c r="F149" s="3011">
        <v>64.930000000000007</v>
      </c>
      <c r="G149" s="3011">
        <v>7.25</v>
      </c>
      <c r="H149" s="3004" t="s">
        <v>1373</v>
      </c>
      <c r="I149" s="3007" t="s">
        <v>3440</v>
      </c>
      <c r="J149" s="3010">
        <f t="shared" si="14"/>
        <v>56156</v>
      </c>
      <c r="K149" s="3007" t="str">
        <f t="shared" si="15"/>
        <v>12层</v>
      </c>
      <c r="L149" s="3007" t="str">
        <f t="shared" si="12"/>
        <v>7层</v>
      </c>
      <c r="N149" s="3002">
        <f t="shared" ca="1" si="13"/>
        <v>680077</v>
      </c>
    </row>
    <row r="150" spans="1:14" ht="24">
      <c r="A150" s="3007">
        <v>147</v>
      </c>
      <c r="B150" s="3007" t="s">
        <v>3206</v>
      </c>
      <c r="C150" s="3004" t="s">
        <v>3477</v>
      </c>
      <c r="D150" s="3007" t="s">
        <v>3745</v>
      </c>
      <c r="E150" s="3008" t="s">
        <v>3746</v>
      </c>
      <c r="F150" s="3011">
        <v>51.1</v>
      </c>
      <c r="G150" s="3011">
        <v>5.7</v>
      </c>
      <c r="H150" s="3004" t="s">
        <v>1373</v>
      </c>
      <c r="I150" s="3007" t="s">
        <v>3440</v>
      </c>
      <c r="J150" s="3010">
        <f t="shared" si="14"/>
        <v>56156</v>
      </c>
      <c r="K150" s="3007" t="str">
        <f t="shared" si="15"/>
        <v>12层</v>
      </c>
      <c r="L150" s="3007" t="s">
        <v>3747</v>
      </c>
      <c r="N150" s="3002">
        <f t="shared" ca="1" si="13"/>
        <v>535221</v>
      </c>
    </row>
    <row r="151" spans="1:14" ht="24">
      <c r="A151" s="3007">
        <v>148</v>
      </c>
      <c r="B151" s="3007" t="s">
        <v>3207</v>
      </c>
      <c r="C151" s="3004" t="s">
        <v>3477</v>
      </c>
      <c r="D151" s="3007" t="s">
        <v>3748</v>
      </c>
      <c r="E151" s="3008" t="s">
        <v>3749</v>
      </c>
      <c r="F151" s="3011">
        <v>52.87</v>
      </c>
      <c r="G151" s="3011">
        <v>5.9</v>
      </c>
      <c r="H151" s="3004" t="s">
        <v>1373</v>
      </c>
      <c r="I151" s="3007" t="s">
        <v>3440</v>
      </c>
      <c r="J151" s="3010">
        <f t="shared" si="14"/>
        <v>56156</v>
      </c>
      <c r="K151" s="3007" t="str">
        <f t="shared" si="15"/>
        <v>12层</v>
      </c>
      <c r="L151" s="3007" t="str">
        <f>$L$150</f>
        <v>8层</v>
      </c>
      <c r="N151" s="3002">
        <f t="shared" ca="1" si="13"/>
        <v>553760</v>
      </c>
    </row>
    <row r="152" spans="1:14" ht="24">
      <c r="A152" s="3007">
        <v>149</v>
      </c>
      <c r="B152" s="3007" t="s">
        <v>3208</v>
      </c>
      <c r="C152" s="3004" t="s">
        <v>3621</v>
      </c>
      <c r="D152" s="3007" t="s">
        <v>3750</v>
      </c>
      <c r="E152" s="3008" t="s">
        <v>3751</v>
      </c>
      <c r="F152" s="3011">
        <v>52.86</v>
      </c>
      <c r="G152" s="3011">
        <v>5.9</v>
      </c>
      <c r="H152" s="3004" t="s">
        <v>1373</v>
      </c>
      <c r="I152" s="3007" t="s">
        <v>3440</v>
      </c>
      <c r="J152" s="3010">
        <f t="shared" si="14"/>
        <v>56156</v>
      </c>
      <c r="K152" s="3007" t="str">
        <f t="shared" si="15"/>
        <v>12层</v>
      </c>
      <c r="L152" s="3007" t="str">
        <f t="shared" ref="L152:L170" si="16">$L$150</f>
        <v>8层</v>
      </c>
      <c r="N152" s="3002">
        <f t="shared" ca="1" si="13"/>
        <v>553656</v>
      </c>
    </row>
    <row r="153" spans="1:14" ht="24">
      <c r="A153" s="3007">
        <v>150</v>
      </c>
      <c r="B153" s="3007" t="s">
        <v>3209</v>
      </c>
      <c r="C153" s="3004" t="s">
        <v>3621</v>
      </c>
      <c r="D153" s="3007" t="s">
        <v>3752</v>
      </c>
      <c r="E153" s="3008" t="s">
        <v>3753</v>
      </c>
      <c r="F153" s="3011">
        <v>52.87</v>
      </c>
      <c r="G153" s="3011">
        <v>5.9</v>
      </c>
      <c r="H153" s="3004" t="s">
        <v>1373</v>
      </c>
      <c r="I153" s="3007" t="s">
        <v>3665</v>
      </c>
      <c r="J153" s="3010">
        <f t="shared" si="14"/>
        <v>56156</v>
      </c>
      <c r="K153" s="3007" t="str">
        <f t="shared" si="15"/>
        <v>12层</v>
      </c>
      <c r="L153" s="3007" t="str">
        <f t="shared" si="16"/>
        <v>8层</v>
      </c>
      <c r="N153" s="3002">
        <f t="shared" ca="1" si="13"/>
        <v>553760</v>
      </c>
    </row>
    <row r="154" spans="1:14" ht="24">
      <c r="A154" s="3007">
        <v>151</v>
      </c>
      <c r="B154" s="3007" t="s">
        <v>3210</v>
      </c>
      <c r="C154" s="3004" t="s">
        <v>3621</v>
      </c>
      <c r="D154" s="3007" t="s">
        <v>3754</v>
      </c>
      <c r="E154" s="3008" t="s">
        <v>3755</v>
      </c>
      <c r="F154" s="3011">
        <v>71.400000000000006</v>
      </c>
      <c r="G154" s="3011">
        <v>7.97</v>
      </c>
      <c r="H154" s="3004" t="s">
        <v>1373</v>
      </c>
      <c r="I154" s="3007" t="s">
        <v>3665</v>
      </c>
      <c r="J154" s="3010">
        <f t="shared" si="14"/>
        <v>56156</v>
      </c>
      <c r="K154" s="3007" t="str">
        <f t="shared" si="15"/>
        <v>12层</v>
      </c>
      <c r="L154" s="3007" t="str">
        <f t="shared" si="16"/>
        <v>8层</v>
      </c>
      <c r="N154" s="3002">
        <f t="shared" ca="1" si="13"/>
        <v>747844</v>
      </c>
    </row>
    <row r="155" spans="1:14" ht="24">
      <c r="A155" s="3007">
        <v>152</v>
      </c>
      <c r="B155" s="3007" t="s">
        <v>3211</v>
      </c>
      <c r="C155" s="3004" t="s">
        <v>3621</v>
      </c>
      <c r="D155" s="3007" t="s">
        <v>3756</v>
      </c>
      <c r="E155" s="3008" t="s">
        <v>3757</v>
      </c>
      <c r="F155" s="3011">
        <v>71.819999999999993</v>
      </c>
      <c r="G155" s="3011">
        <v>8.01</v>
      </c>
      <c r="H155" s="3004" t="s">
        <v>1373</v>
      </c>
      <c r="I155" s="3007" t="s">
        <v>3665</v>
      </c>
      <c r="J155" s="3010">
        <f t="shared" si="14"/>
        <v>56156</v>
      </c>
      <c r="K155" s="3007" t="str">
        <f t="shared" si="15"/>
        <v>12层</v>
      </c>
      <c r="L155" s="3007" t="str">
        <f t="shared" si="16"/>
        <v>8层</v>
      </c>
      <c r="N155" s="3002">
        <f t="shared" ca="1" si="13"/>
        <v>752243</v>
      </c>
    </row>
    <row r="156" spans="1:14" ht="24">
      <c r="A156" s="3007">
        <v>153</v>
      </c>
      <c r="B156" s="3007" t="s">
        <v>3212</v>
      </c>
      <c r="C156" s="3004" t="s">
        <v>3621</v>
      </c>
      <c r="D156" s="3007" t="s">
        <v>3758</v>
      </c>
      <c r="E156" s="3008" t="s">
        <v>3759</v>
      </c>
      <c r="F156" s="3011">
        <v>52.47</v>
      </c>
      <c r="G156" s="3011">
        <v>5.86</v>
      </c>
      <c r="H156" s="3004" t="s">
        <v>1373</v>
      </c>
      <c r="I156" s="3007" t="s">
        <v>3665</v>
      </c>
      <c r="J156" s="3010">
        <f t="shared" si="14"/>
        <v>56156</v>
      </c>
      <c r="K156" s="3007" t="str">
        <f t="shared" si="15"/>
        <v>12层</v>
      </c>
      <c r="L156" s="3007" t="str">
        <f t="shared" si="16"/>
        <v>8层</v>
      </c>
      <c r="N156" s="3002">
        <f t="shared" ca="1" si="13"/>
        <v>549571</v>
      </c>
    </row>
    <row r="157" spans="1:14" ht="24">
      <c r="A157" s="3007">
        <v>154</v>
      </c>
      <c r="B157" s="3007" t="s">
        <v>3213</v>
      </c>
      <c r="C157" s="3004" t="s">
        <v>3621</v>
      </c>
      <c r="D157" s="3007" t="s">
        <v>3760</v>
      </c>
      <c r="E157" s="3008" t="s">
        <v>3761</v>
      </c>
      <c r="F157" s="3011">
        <v>53.33</v>
      </c>
      <c r="G157" s="3011">
        <v>5.95</v>
      </c>
      <c r="H157" s="3004" t="s">
        <v>1373</v>
      </c>
      <c r="I157" s="3007" t="s">
        <v>3665</v>
      </c>
      <c r="J157" s="3010">
        <f t="shared" si="14"/>
        <v>56156</v>
      </c>
      <c r="K157" s="3007" t="str">
        <f t="shared" si="15"/>
        <v>12层</v>
      </c>
      <c r="L157" s="3007" t="str">
        <f t="shared" si="16"/>
        <v>8层</v>
      </c>
      <c r="N157" s="3002">
        <f t="shared" ca="1" si="13"/>
        <v>558578</v>
      </c>
    </row>
    <row r="158" spans="1:14" ht="24">
      <c r="A158" s="3007">
        <v>155</v>
      </c>
      <c r="B158" s="3007" t="s">
        <v>3214</v>
      </c>
      <c r="C158" s="3004" t="s">
        <v>3621</v>
      </c>
      <c r="D158" s="3007" t="s">
        <v>3762</v>
      </c>
      <c r="E158" s="3008" t="s">
        <v>3763</v>
      </c>
      <c r="F158" s="3011">
        <v>61.47</v>
      </c>
      <c r="G158" s="3011">
        <v>6.86</v>
      </c>
      <c r="H158" s="3004" t="s">
        <v>1373</v>
      </c>
      <c r="I158" s="3007" t="s">
        <v>3665</v>
      </c>
      <c r="J158" s="3010">
        <f t="shared" si="14"/>
        <v>56156</v>
      </c>
      <c r="K158" s="3007" t="str">
        <f t="shared" si="15"/>
        <v>12层</v>
      </c>
      <c r="L158" s="3007" t="str">
        <f t="shared" si="16"/>
        <v>8层</v>
      </c>
      <c r="N158" s="3002">
        <f t="shared" ca="1" si="13"/>
        <v>643837</v>
      </c>
    </row>
    <row r="159" spans="1:14" ht="24">
      <c r="A159" s="3007">
        <v>156</v>
      </c>
      <c r="B159" s="3007" t="s">
        <v>3215</v>
      </c>
      <c r="C159" s="3004" t="s">
        <v>3621</v>
      </c>
      <c r="D159" s="3007" t="s">
        <v>3764</v>
      </c>
      <c r="E159" s="3008" t="s">
        <v>3765</v>
      </c>
      <c r="F159" s="3011">
        <v>66.06</v>
      </c>
      <c r="G159" s="3011">
        <v>7.37</v>
      </c>
      <c r="H159" s="3004" t="s">
        <v>1373</v>
      </c>
      <c r="I159" s="3007" t="s">
        <v>3665</v>
      </c>
      <c r="J159" s="3010">
        <f t="shared" si="14"/>
        <v>56156</v>
      </c>
      <c r="K159" s="3007" t="str">
        <f t="shared" si="15"/>
        <v>12层</v>
      </c>
      <c r="L159" s="3007" t="str">
        <f t="shared" si="16"/>
        <v>8层</v>
      </c>
      <c r="N159" s="3002">
        <f t="shared" ca="1" si="13"/>
        <v>691912</v>
      </c>
    </row>
    <row r="160" spans="1:14" ht="24">
      <c r="A160" s="3007">
        <v>157</v>
      </c>
      <c r="B160" s="3007" t="s">
        <v>3216</v>
      </c>
      <c r="C160" s="3004" t="s">
        <v>3621</v>
      </c>
      <c r="D160" s="3007" t="s">
        <v>3766</v>
      </c>
      <c r="E160" s="3008" t="s">
        <v>3767</v>
      </c>
      <c r="F160" s="3011">
        <v>60.87</v>
      </c>
      <c r="G160" s="3011">
        <v>6.79</v>
      </c>
      <c r="H160" s="3004" t="s">
        <v>1373</v>
      </c>
      <c r="I160" s="3007" t="s">
        <v>3665</v>
      </c>
      <c r="J160" s="3010">
        <f t="shared" si="14"/>
        <v>56156</v>
      </c>
      <c r="K160" s="3007" t="str">
        <f t="shared" si="15"/>
        <v>12层</v>
      </c>
      <c r="L160" s="3007" t="str">
        <f t="shared" si="16"/>
        <v>8层</v>
      </c>
      <c r="N160" s="3002">
        <f t="shared" ca="1" si="13"/>
        <v>637552</v>
      </c>
    </row>
    <row r="161" spans="1:14" ht="24">
      <c r="A161" s="3007">
        <v>158</v>
      </c>
      <c r="B161" s="3007" t="s">
        <v>3217</v>
      </c>
      <c r="C161" s="3004" t="s">
        <v>3621</v>
      </c>
      <c r="D161" s="3007" t="s">
        <v>3768</v>
      </c>
      <c r="E161" s="3008" t="s">
        <v>3769</v>
      </c>
      <c r="F161" s="3011">
        <v>53.25</v>
      </c>
      <c r="G161" s="3011">
        <v>5.94</v>
      </c>
      <c r="H161" s="3004" t="s">
        <v>1373</v>
      </c>
      <c r="I161" s="3007" t="s">
        <v>3665</v>
      </c>
      <c r="J161" s="3010">
        <f t="shared" si="14"/>
        <v>56156</v>
      </c>
      <c r="K161" s="3007" t="str">
        <f t="shared" si="15"/>
        <v>12层</v>
      </c>
      <c r="L161" s="3007" t="str">
        <f t="shared" si="16"/>
        <v>8层</v>
      </c>
      <c r="N161" s="3002">
        <f t="shared" ca="1" si="13"/>
        <v>557741</v>
      </c>
    </row>
    <row r="162" spans="1:14" ht="24">
      <c r="A162" s="3007">
        <v>159</v>
      </c>
      <c r="B162" s="3007" t="s">
        <v>3218</v>
      </c>
      <c r="C162" s="3004" t="s">
        <v>3621</v>
      </c>
      <c r="D162" s="3007" t="s">
        <v>3770</v>
      </c>
      <c r="E162" s="3008" t="s">
        <v>3771</v>
      </c>
      <c r="F162" s="3011">
        <v>53.19</v>
      </c>
      <c r="G162" s="3011">
        <v>5.94</v>
      </c>
      <c r="H162" s="3004" t="s">
        <v>1373</v>
      </c>
      <c r="I162" s="3007" t="s">
        <v>3665</v>
      </c>
      <c r="J162" s="3010">
        <f t="shared" si="14"/>
        <v>56156</v>
      </c>
      <c r="K162" s="3007" t="str">
        <f t="shared" si="15"/>
        <v>12层</v>
      </c>
      <c r="L162" s="3007" t="str">
        <f t="shared" si="16"/>
        <v>8层</v>
      </c>
      <c r="N162" s="3002">
        <f t="shared" ca="1" si="13"/>
        <v>557112</v>
      </c>
    </row>
    <row r="163" spans="1:14" ht="24">
      <c r="A163" s="3007">
        <v>160</v>
      </c>
      <c r="B163" s="3007" t="s">
        <v>3219</v>
      </c>
      <c r="C163" s="3004" t="s">
        <v>3621</v>
      </c>
      <c r="D163" s="3007" t="s">
        <v>3772</v>
      </c>
      <c r="E163" s="3008" t="s">
        <v>3773</v>
      </c>
      <c r="F163" s="3011">
        <v>53.19</v>
      </c>
      <c r="G163" s="3011">
        <v>5.94</v>
      </c>
      <c r="H163" s="3004" t="s">
        <v>1373</v>
      </c>
      <c r="I163" s="3007" t="s">
        <v>3665</v>
      </c>
      <c r="J163" s="3010">
        <f t="shared" si="14"/>
        <v>56156</v>
      </c>
      <c r="K163" s="3007" t="str">
        <f t="shared" si="15"/>
        <v>12层</v>
      </c>
      <c r="L163" s="3007" t="str">
        <f t="shared" si="16"/>
        <v>8层</v>
      </c>
      <c r="N163" s="3002">
        <f t="shared" ca="1" si="13"/>
        <v>557112</v>
      </c>
    </row>
    <row r="164" spans="1:14" ht="24">
      <c r="A164" s="3007">
        <v>161</v>
      </c>
      <c r="B164" s="3007" t="s">
        <v>3220</v>
      </c>
      <c r="C164" s="3004" t="s">
        <v>3621</v>
      </c>
      <c r="D164" s="3007" t="s">
        <v>3774</v>
      </c>
      <c r="E164" s="3008" t="s">
        <v>3775</v>
      </c>
      <c r="F164" s="3011">
        <v>53.17</v>
      </c>
      <c r="G164" s="3011">
        <v>5.93</v>
      </c>
      <c r="H164" s="3004" t="s">
        <v>1373</v>
      </c>
      <c r="I164" s="3007" t="s">
        <v>3665</v>
      </c>
      <c r="J164" s="3010">
        <f t="shared" si="14"/>
        <v>56156</v>
      </c>
      <c r="K164" s="3007" t="str">
        <f t="shared" si="15"/>
        <v>12层</v>
      </c>
      <c r="L164" s="3007" t="str">
        <f t="shared" si="16"/>
        <v>8层</v>
      </c>
      <c r="N164" s="3002">
        <f t="shared" ca="1" si="13"/>
        <v>556903</v>
      </c>
    </row>
    <row r="165" spans="1:14" ht="24">
      <c r="A165" s="3007">
        <v>162</v>
      </c>
      <c r="B165" s="3007" t="s">
        <v>3221</v>
      </c>
      <c r="C165" s="3004" t="s">
        <v>3621</v>
      </c>
      <c r="D165" s="3007" t="s">
        <v>3776</v>
      </c>
      <c r="E165" s="3008" t="s">
        <v>3777</v>
      </c>
      <c r="F165" s="3011">
        <v>73.2</v>
      </c>
      <c r="G165" s="3011">
        <v>8.17</v>
      </c>
      <c r="H165" s="3004" t="s">
        <v>1373</v>
      </c>
      <c r="I165" s="3007" t="s">
        <v>3665</v>
      </c>
      <c r="J165" s="3010">
        <f t="shared" si="14"/>
        <v>56156</v>
      </c>
      <c r="K165" s="3007" t="str">
        <f t="shared" si="15"/>
        <v>12层</v>
      </c>
      <c r="L165" s="3007" t="str">
        <f t="shared" si="16"/>
        <v>8层</v>
      </c>
      <c r="N165" s="3002">
        <f t="shared" ca="1" si="13"/>
        <v>766697</v>
      </c>
    </row>
    <row r="166" spans="1:14" ht="24">
      <c r="A166" s="3007">
        <v>163</v>
      </c>
      <c r="B166" s="3007" t="s">
        <v>3222</v>
      </c>
      <c r="C166" s="3004" t="s">
        <v>3621</v>
      </c>
      <c r="D166" s="3007" t="s">
        <v>3778</v>
      </c>
      <c r="E166" s="3008" t="s">
        <v>3779</v>
      </c>
      <c r="F166" s="3011">
        <v>72.569999999999993</v>
      </c>
      <c r="G166" s="3011">
        <v>8.1</v>
      </c>
      <c r="H166" s="3004" t="s">
        <v>1373</v>
      </c>
      <c r="I166" s="3007" t="s">
        <v>3665</v>
      </c>
      <c r="J166" s="3010">
        <f t="shared" si="14"/>
        <v>56156</v>
      </c>
      <c r="K166" s="3007" t="str">
        <f t="shared" si="15"/>
        <v>12层</v>
      </c>
      <c r="L166" s="3007" t="str">
        <f t="shared" si="16"/>
        <v>8层</v>
      </c>
      <c r="N166" s="3002">
        <f t="shared" ca="1" si="13"/>
        <v>760098</v>
      </c>
    </row>
    <row r="167" spans="1:14" ht="24">
      <c r="A167" s="3007">
        <v>164</v>
      </c>
      <c r="B167" s="3007" t="s">
        <v>3223</v>
      </c>
      <c r="C167" s="3004" t="s">
        <v>3621</v>
      </c>
      <c r="D167" s="3007" t="s">
        <v>3780</v>
      </c>
      <c r="E167" s="3008" t="s">
        <v>3781</v>
      </c>
      <c r="F167" s="3011">
        <v>53.17</v>
      </c>
      <c r="G167" s="3011">
        <v>5.93</v>
      </c>
      <c r="H167" s="3004" t="s">
        <v>1373</v>
      </c>
      <c r="I167" s="3007" t="s">
        <v>3665</v>
      </c>
      <c r="J167" s="3010">
        <f t="shared" si="14"/>
        <v>56156</v>
      </c>
      <c r="K167" s="3007" t="str">
        <f t="shared" si="15"/>
        <v>12层</v>
      </c>
      <c r="L167" s="3007" t="str">
        <f t="shared" si="16"/>
        <v>8层</v>
      </c>
      <c r="N167" s="3002">
        <f t="shared" ca="1" si="13"/>
        <v>556903</v>
      </c>
    </row>
    <row r="168" spans="1:14" ht="24">
      <c r="A168" s="3007">
        <v>165</v>
      </c>
      <c r="B168" s="3007" t="s">
        <v>3224</v>
      </c>
      <c r="C168" s="3004" t="s">
        <v>3621</v>
      </c>
      <c r="D168" s="3007" t="s">
        <v>3782</v>
      </c>
      <c r="E168" s="3008" t="s">
        <v>3783</v>
      </c>
      <c r="F168" s="3011">
        <v>53.19</v>
      </c>
      <c r="G168" s="3011">
        <v>5.94</v>
      </c>
      <c r="H168" s="3004" t="s">
        <v>1373</v>
      </c>
      <c r="I168" s="3007" t="s">
        <v>3440</v>
      </c>
      <c r="J168" s="3010">
        <f t="shared" si="14"/>
        <v>56156</v>
      </c>
      <c r="K168" s="3007" t="str">
        <f t="shared" si="15"/>
        <v>12层</v>
      </c>
      <c r="L168" s="3007" t="str">
        <f t="shared" si="16"/>
        <v>8层</v>
      </c>
      <c r="N168" s="3002">
        <f t="shared" ca="1" si="13"/>
        <v>557112</v>
      </c>
    </row>
    <row r="169" spans="1:14" ht="24">
      <c r="A169" s="3007">
        <v>166</v>
      </c>
      <c r="B169" s="3007" t="s">
        <v>3225</v>
      </c>
      <c r="C169" s="3004" t="s">
        <v>3477</v>
      </c>
      <c r="D169" s="3007" t="s">
        <v>3784</v>
      </c>
      <c r="E169" s="3008" t="s">
        <v>3785</v>
      </c>
      <c r="F169" s="3011">
        <v>52.53</v>
      </c>
      <c r="G169" s="3011">
        <v>5.86</v>
      </c>
      <c r="H169" s="3004" t="s">
        <v>1373</v>
      </c>
      <c r="I169" s="3007" t="s">
        <v>3440</v>
      </c>
      <c r="J169" s="3010">
        <f t="shared" si="14"/>
        <v>56156</v>
      </c>
      <c r="K169" s="3007" t="str">
        <f t="shared" si="15"/>
        <v>12层</v>
      </c>
      <c r="L169" s="3007" t="str">
        <f t="shared" si="16"/>
        <v>8层</v>
      </c>
      <c r="N169" s="3002">
        <f t="shared" ca="1" si="13"/>
        <v>550199</v>
      </c>
    </row>
    <row r="170" spans="1:14" ht="24">
      <c r="A170" s="3007">
        <v>167</v>
      </c>
      <c r="B170" s="3007" t="s">
        <v>3226</v>
      </c>
      <c r="C170" s="3004" t="s">
        <v>3477</v>
      </c>
      <c r="D170" s="3007" t="s">
        <v>3786</v>
      </c>
      <c r="E170" s="3008" t="s">
        <v>3787</v>
      </c>
      <c r="F170" s="3011">
        <v>64.930000000000007</v>
      </c>
      <c r="G170" s="3011">
        <v>7.25</v>
      </c>
      <c r="H170" s="3004" t="s">
        <v>1373</v>
      </c>
      <c r="I170" s="3007" t="s">
        <v>3440</v>
      </c>
      <c r="J170" s="3010">
        <f t="shared" si="14"/>
        <v>56156</v>
      </c>
      <c r="K170" s="3007" t="str">
        <f t="shared" si="15"/>
        <v>12层</v>
      </c>
      <c r="L170" s="3007" t="str">
        <f t="shared" si="16"/>
        <v>8层</v>
      </c>
      <c r="N170" s="3002">
        <f t="shared" ca="1" si="13"/>
        <v>680077</v>
      </c>
    </row>
    <row r="171" spans="1:14" ht="24">
      <c r="A171" s="3007">
        <v>168</v>
      </c>
      <c r="B171" s="3007" t="s">
        <v>3227</v>
      </c>
      <c r="C171" s="3004" t="s">
        <v>3477</v>
      </c>
      <c r="D171" s="3007" t="s">
        <v>3788</v>
      </c>
      <c r="E171" s="3008" t="s">
        <v>3789</v>
      </c>
      <c r="F171" s="3011">
        <v>50.65</v>
      </c>
      <c r="G171" s="3011">
        <v>5.65</v>
      </c>
      <c r="H171" s="3004" t="s">
        <v>1373</v>
      </c>
      <c r="I171" s="3007" t="s">
        <v>3440</v>
      </c>
      <c r="J171" s="3010">
        <f t="shared" si="14"/>
        <v>56156</v>
      </c>
      <c r="K171" s="3007" t="str">
        <f t="shared" si="15"/>
        <v>12层</v>
      </c>
      <c r="L171" s="3007" t="s">
        <v>3790</v>
      </c>
      <c r="N171" s="3002">
        <f t="shared" ca="1" si="13"/>
        <v>530508</v>
      </c>
    </row>
    <row r="172" spans="1:14" ht="24">
      <c r="A172" s="3007">
        <v>169</v>
      </c>
      <c r="B172" s="3007" t="s">
        <v>3228</v>
      </c>
      <c r="C172" s="3004" t="s">
        <v>3477</v>
      </c>
      <c r="D172" s="3007" t="s">
        <v>3791</v>
      </c>
      <c r="E172" s="3008" t="s">
        <v>3792</v>
      </c>
      <c r="F172" s="3011">
        <v>52.4</v>
      </c>
      <c r="G172" s="3011">
        <v>5.85</v>
      </c>
      <c r="H172" s="3004" t="s">
        <v>1373</v>
      </c>
      <c r="I172" s="3007" t="s">
        <v>3440</v>
      </c>
      <c r="J172" s="3010">
        <f t="shared" si="14"/>
        <v>56156</v>
      </c>
      <c r="K172" s="3007" t="str">
        <f t="shared" si="15"/>
        <v>12层</v>
      </c>
      <c r="L172" s="3007" t="str">
        <f>$L$171</f>
        <v>9层</v>
      </c>
      <c r="N172" s="3002">
        <f t="shared" ca="1" si="13"/>
        <v>548838</v>
      </c>
    </row>
    <row r="173" spans="1:14" ht="24">
      <c r="A173" s="3007">
        <v>170</v>
      </c>
      <c r="B173" s="3007" t="s">
        <v>3229</v>
      </c>
      <c r="C173" s="3004" t="s">
        <v>3621</v>
      </c>
      <c r="D173" s="3007" t="s">
        <v>3793</v>
      </c>
      <c r="E173" s="3008" t="s">
        <v>3794</v>
      </c>
      <c r="F173" s="3011">
        <v>52.39</v>
      </c>
      <c r="G173" s="3011">
        <v>5.85</v>
      </c>
      <c r="H173" s="3004" t="s">
        <v>1373</v>
      </c>
      <c r="I173" s="3007" t="s">
        <v>3665</v>
      </c>
      <c r="J173" s="3010">
        <f t="shared" si="14"/>
        <v>56156</v>
      </c>
      <c r="K173" s="3007" t="str">
        <f t="shared" si="15"/>
        <v>12层</v>
      </c>
      <c r="L173" s="3007" t="str">
        <f t="shared" ref="L173:L193" si="17">$L$171</f>
        <v>9层</v>
      </c>
      <c r="N173" s="3002">
        <f t="shared" ca="1" si="13"/>
        <v>548733</v>
      </c>
    </row>
    <row r="174" spans="1:14" ht="24">
      <c r="A174" s="3007">
        <v>171</v>
      </c>
      <c r="B174" s="3007" t="s">
        <v>3230</v>
      </c>
      <c r="C174" s="3004" t="s">
        <v>3527</v>
      </c>
      <c r="D174" s="3007" t="s">
        <v>3795</v>
      </c>
      <c r="E174" s="3008" t="s">
        <v>3796</v>
      </c>
      <c r="F174" s="3011">
        <v>52.4</v>
      </c>
      <c r="G174" s="3011">
        <v>5.85</v>
      </c>
      <c r="H174" s="3004" t="s">
        <v>1373</v>
      </c>
      <c r="I174" s="3007" t="s">
        <v>3530</v>
      </c>
      <c r="J174" s="3010">
        <f t="shared" si="14"/>
        <v>56156</v>
      </c>
      <c r="K174" s="3007" t="str">
        <f t="shared" si="15"/>
        <v>12层</v>
      </c>
      <c r="L174" s="3007" t="str">
        <f t="shared" si="17"/>
        <v>9层</v>
      </c>
      <c r="N174" s="3002">
        <f t="shared" ca="1" si="13"/>
        <v>548838</v>
      </c>
    </row>
    <row r="175" spans="1:14" ht="24">
      <c r="A175" s="3007">
        <v>172</v>
      </c>
      <c r="B175" s="3007" t="s">
        <v>3231</v>
      </c>
      <c r="C175" s="3004" t="s">
        <v>3527</v>
      </c>
      <c r="D175" s="3007" t="s">
        <v>3797</v>
      </c>
      <c r="E175" s="3008" t="s">
        <v>3798</v>
      </c>
      <c r="F175" s="3011">
        <v>70.760000000000005</v>
      </c>
      <c r="G175" s="3011">
        <v>7.9</v>
      </c>
      <c r="H175" s="3004" t="s">
        <v>1373</v>
      </c>
      <c r="I175" s="3007" t="s">
        <v>3530</v>
      </c>
      <c r="J175" s="3010">
        <f t="shared" si="14"/>
        <v>56156</v>
      </c>
      <c r="K175" s="3007" t="str">
        <f t="shared" si="15"/>
        <v>12层</v>
      </c>
      <c r="L175" s="3007" t="str">
        <f t="shared" si="17"/>
        <v>9层</v>
      </c>
      <c r="N175" s="3002">
        <f t="shared" ca="1" si="13"/>
        <v>741140</v>
      </c>
    </row>
    <row r="176" spans="1:14" ht="24">
      <c r="A176" s="3007">
        <v>173</v>
      </c>
      <c r="B176" s="3007" t="s">
        <v>3232</v>
      </c>
      <c r="C176" s="3004" t="s">
        <v>3527</v>
      </c>
      <c r="D176" s="3007" t="s">
        <v>3799</v>
      </c>
      <c r="E176" s="3008" t="s">
        <v>3800</v>
      </c>
      <c r="F176" s="3011">
        <v>71.180000000000007</v>
      </c>
      <c r="G176" s="3011">
        <v>7.94</v>
      </c>
      <c r="H176" s="3004" t="s">
        <v>1373</v>
      </c>
      <c r="I176" s="3007" t="s">
        <v>3530</v>
      </c>
      <c r="J176" s="3010">
        <f t="shared" si="14"/>
        <v>56156</v>
      </c>
      <c r="K176" s="3007" t="str">
        <f t="shared" si="15"/>
        <v>12层</v>
      </c>
      <c r="L176" s="3007" t="str">
        <f t="shared" si="17"/>
        <v>9层</v>
      </c>
      <c r="N176" s="3002">
        <f t="shared" ca="1" si="13"/>
        <v>745539</v>
      </c>
    </row>
    <row r="177" spans="1:14" ht="24">
      <c r="A177" s="3007">
        <v>174</v>
      </c>
      <c r="B177" s="3007" t="s">
        <v>3233</v>
      </c>
      <c r="C177" s="3004" t="s">
        <v>3527</v>
      </c>
      <c r="D177" s="3007" t="s">
        <v>3801</v>
      </c>
      <c r="E177" s="3008" t="s">
        <v>3802</v>
      </c>
      <c r="F177" s="3011">
        <v>52</v>
      </c>
      <c r="G177" s="3011">
        <v>5.8</v>
      </c>
      <c r="H177" s="3004" t="s">
        <v>1373</v>
      </c>
      <c r="I177" s="3007" t="s">
        <v>3530</v>
      </c>
      <c r="J177" s="3010">
        <f t="shared" si="14"/>
        <v>56156</v>
      </c>
      <c r="K177" s="3007" t="str">
        <f t="shared" si="15"/>
        <v>12层</v>
      </c>
      <c r="L177" s="3007" t="str">
        <f t="shared" si="17"/>
        <v>9层</v>
      </c>
      <c r="N177" s="3002">
        <f t="shared" ca="1" si="13"/>
        <v>544648</v>
      </c>
    </row>
    <row r="178" spans="1:14" ht="24">
      <c r="A178" s="3007">
        <v>175</v>
      </c>
      <c r="B178" s="3007" t="s">
        <v>3234</v>
      </c>
      <c r="C178" s="3004" t="s">
        <v>3527</v>
      </c>
      <c r="D178" s="3007" t="s">
        <v>3803</v>
      </c>
      <c r="E178" s="3008" t="s">
        <v>3804</v>
      </c>
      <c r="F178" s="3011">
        <v>52.07</v>
      </c>
      <c r="G178" s="3011">
        <v>5.81</v>
      </c>
      <c r="H178" s="3004" t="s">
        <v>1373</v>
      </c>
      <c r="I178" s="3007" t="s">
        <v>3530</v>
      </c>
      <c r="J178" s="3010">
        <f t="shared" si="14"/>
        <v>56156</v>
      </c>
      <c r="K178" s="3007" t="str">
        <f t="shared" si="15"/>
        <v>12层</v>
      </c>
      <c r="L178" s="3007" t="str">
        <f t="shared" si="17"/>
        <v>9层</v>
      </c>
      <c r="N178" s="3002">
        <f t="shared" ca="1" si="13"/>
        <v>545381</v>
      </c>
    </row>
    <row r="179" spans="1:14" ht="24">
      <c r="A179" s="3007">
        <v>176</v>
      </c>
      <c r="B179" s="3007" t="s">
        <v>3235</v>
      </c>
      <c r="C179" s="3004" t="s">
        <v>3527</v>
      </c>
      <c r="D179" s="3007" t="s">
        <v>3805</v>
      </c>
      <c r="E179" s="3008" t="s">
        <v>3806</v>
      </c>
      <c r="F179" s="3011">
        <v>52.04</v>
      </c>
      <c r="G179" s="3011">
        <v>5.81</v>
      </c>
      <c r="H179" s="3004" t="s">
        <v>1373</v>
      </c>
      <c r="I179" s="3007" t="s">
        <v>3530</v>
      </c>
      <c r="J179" s="3010">
        <f t="shared" si="14"/>
        <v>56156</v>
      </c>
      <c r="K179" s="3007" t="str">
        <f t="shared" si="15"/>
        <v>12层</v>
      </c>
      <c r="L179" s="3007" t="str">
        <f t="shared" si="17"/>
        <v>9层</v>
      </c>
      <c r="N179" s="3002">
        <f t="shared" ca="1" si="13"/>
        <v>545067</v>
      </c>
    </row>
    <row r="180" spans="1:14" ht="24">
      <c r="A180" s="3007">
        <v>177</v>
      </c>
      <c r="B180" s="3007" t="s">
        <v>3236</v>
      </c>
      <c r="C180" s="3004" t="s">
        <v>3527</v>
      </c>
      <c r="D180" s="3007" t="s">
        <v>3807</v>
      </c>
      <c r="E180" s="3008" t="s">
        <v>3808</v>
      </c>
      <c r="F180" s="3011">
        <v>52.71</v>
      </c>
      <c r="G180" s="3011">
        <v>5.88</v>
      </c>
      <c r="H180" s="3004" t="s">
        <v>1373</v>
      </c>
      <c r="I180" s="3007" t="s">
        <v>3530</v>
      </c>
      <c r="J180" s="3010">
        <f t="shared" si="14"/>
        <v>56156</v>
      </c>
      <c r="K180" s="3007" t="str">
        <f t="shared" si="15"/>
        <v>12层</v>
      </c>
      <c r="L180" s="3007" t="str">
        <f t="shared" si="17"/>
        <v>9层</v>
      </c>
      <c r="N180" s="3002">
        <f t="shared" ca="1" si="13"/>
        <v>552085</v>
      </c>
    </row>
    <row r="181" spans="1:14" ht="24">
      <c r="A181" s="3007">
        <v>178</v>
      </c>
      <c r="B181" s="3007" t="s">
        <v>3237</v>
      </c>
      <c r="C181" s="3004" t="s">
        <v>3527</v>
      </c>
      <c r="D181" s="3007" t="s">
        <v>3809</v>
      </c>
      <c r="E181" s="3008" t="s">
        <v>3810</v>
      </c>
      <c r="F181" s="3011">
        <v>60.92</v>
      </c>
      <c r="G181" s="3011">
        <v>6.8</v>
      </c>
      <c r="H181" s="3004" t="s">
        <v>1373</v>
      </c>
      <c r="I181" s="3007" t="s">
        <v>3530</v>
      </c>
      <c r="J181" s="3010">
        <f t="shared" si="14"/>
        <v>56156</v>
      </c>
      <c r="K181" s="3007" t="str">
        <f t="shared" si="15"/>
        <v>12层</v>
      </c>
      <c r="L181" s="3007" t="str">
        <f t="shared" si="17"/>
        <v>9层</v>
      </c>
      <c r="N181" s="3002">
        <f t="shared" ca="1" si="13"/>
        <v>638076</v>
      </c>
    </row>
    <row r="182" spans="1:14" ht="24">
      <c r="A182" s="3007">
        <v>179</v>
      </c>
      <c r="B182" s="3007" t="s">
        <v>3238</v>
      </c>
      <c r="C182" s="3004" t="s">
        <v>3527</v>
      </c>
      <c r="D182" s="3007" t="s">
        <v>3811</v>
      </c>
      <c r="E182" s="3008" t="s">
        <v>3812</v>
      </c>
      <c r="F182" s="3011">
        <v>65.47</v>
      </c>
      <c r="G182" s="3011">
        <v>7.31</v>
      </c>
      <c r="H182" s="3004" t="s">
        <v>1373</v>
      </c>
      <c r="I182" s="3007" t="s">
        <v>3530</v>
      </c>
      <c r="J182" s="3010">
        <f t="shared" si="14"/>
        <v>56156</v>
      </c>
      <c r="K182" s="3007" t="str">
        <f t="shared" si="15"/>
        <v>12层</v>
      </c>
      <c r="L182" s="3007" t="str">
        <f t="shared" si="17"/>
        <v>9层</v>
      </c>
      <c r="N182" s="3002">
        <f t="shared" ca="1" si="13"/>
        <v>685733</v>
      </c>
    </row>
    <row r="183" spans="1:14" ht="24">
      <c r="A183" s="3007">
        <v>180</v>
      </c>
      <c r="B183" s="3007" t="s">
        <v>3239</v>
      </c>
      <c r="C183" s="3004" t="s">
        <v>3527</v>
      </c>
      <c r="D183" s="3007" t="s">
        <v>3813</v>
      </c>
      <c r="E183" s="3008" t="s">
        <v>3814</v>
      </c>
      <c r="F183" s="3011">
        <v>60.33</v>
      </c>
      <c r="G183" s="3011">
        <v>6.73</v>
      </c>
      <c r="H183" s="3004" t="s">
        <v>1373</v>
      </c>
      <c r="I183" s="3007" t="s">
        <v>3530</v>
      </c>
      <c r="J183" s="3010">
        <f t="shared" si="14"/>
        <v>56156</v>
      </c>
      <c r="K183" s="3007" t="str">
        <f t="shared" si="15"/>
        <v>12层</v>
      </c>
      <c r="L183" s="3007" t="str">
        <f t="shared" si="17"/>
        <v>9层</v>
      </c>
      <c r="N183" s="3002">
        <f t="shared" ca="1" si="13"/>
        <v>631896</v>
      </c>
    </row>
    <row r="184" spans="1:14" ht="24">
      <c r="A184" s="3007">
        <v>181</v>
      </c>
      <c r="B184" s="3007" t="s">
        <v>3240</v>
      </c>
      <c r="C184" s="3004" t="s">
        <v>3527</v>
      </c>
      <c r="D184" s="3007" t="s">
        <v>3815</v>
      </c>
      <c r="E184" s="3008" t="s">
        <v>3816</v>
      </c>
      <c r="F184" s="3011">
        <v>52.78</v>
      </c>
      <c r="G184" s="3011">
        <v>5.89</v>
      </c>
      <c r="H184" s="3004" t="s">
        <v>1373</v>
      </c>
      <c r="I184" s="3007" t="s">
        <v>3530</v>
      </c>
      <c r="J184" s="3010">
        <f t="shared" si="14"/>
        <v>56156</v>
      </c>
      <c r="K184" s="3007" t="str">
        <f t="shared" si="15"/>
        <v>12层</v>
      </c>
      <c r="L184" s="3007" t="str">
        <f t="shared" si="17"/>
        <v>9层</v>
      </c>
      <c r="N184" s="3002">
        <f t="shared" ca="1" si="13"/>
        <v>552818</v>
      </c>
    </row>
    <row r="185" spans="1:14" ht="24">
      <c r="A185" s="3007">
        <v>182</v>
      </c>
      <c r="B185" s="3007" t="s">
        <v>3241</v>
      </c>
      <c r="C185" s="3004" t="s">
        <v>3527</v>
      </c>
      <c r="D185" s="3007" t="s">
        <v>3817</v>
      </c>
      <c r="E185" s="3008" t="s">
        <v>3818</v>
      </c>
      <c r="F185" s="3011">
        <v>52.72</v>
      </c>
      <c r="G185" s="3011">
        <v>5.88</v>
      </c>
      <c r="H185" s="3004" t="s">
        <v>1373</v>
      </c>
      <c r="I185" s="3007" t="s">
        <v>3530</v>
      </c>
      <c r="J185" s="3010">
        <f t="shared" si="14"/>
        <v>56156</v>
      </c>
      <c r="K185" s="3007" t="str">
        <f t="shared" si="15"/>
        <v>12层</v>
      </c>
      <c r="L185" s="3007" t="str">
        <f t="shared" si="17"/>
        <v>9层</v>
      </c>
      <c r="N185" s="3002">
        <f t="shared" ca="1" si="13"/>
        <v>552189</v>
      </c>
    </row>
    <row r="186" spans="1:14" ht="24">
      <c r="A186" s="3007">
        <v>183</v>
      </c>
      <c r="B186" s="3007" t="s">
        <v>3242</v>
      </c>
      <c r="C186" s="3004" t="s">
        <v>3527</v>
      </c>
      <c r="D186" s="3007" t="s">
        <v>3819</v>
      </c>
      <c r="E186" s="3008" t="s">
        <v>3820</v>
      </c>
      <c r="F186" s="3011">
        <v>52.72</v>
      </c>
      <c r="G186" s="3011">
        <v>5.88</v>
      </c>
      <c r="H186" s="3004" t="s">
        <v>1373</v>
      </c>
      <c r="I186" s="3007" t="s">
        <v>3530</v>
      </c>
      <c r="J186" s="3010">
        <f t="shared" si="14"/>
        <v>56156</v>
      </c>
      <c r="K186" s="3007" t="str">
        <f t="shared" si="15"/>
        <v>12层</v>
      </c>
      <c r="L186" s="3007" t="str">
        <f t="shared" si="17"/>
        <v>9层</v>
      </c>
      <c r="N186" s="3002">
        <f t="shared" ca="1" si="13"/>
        <v>552189</v>
      </c>
    </row>
    <row r="187" spans="1:14" ht="24">
      <c r="A187" s="3007">
        <v>184</v>
      </c>
      <c r="B187" s="3007" t="s">
        <v>3243</v>
      </c>
      <c r="C187" s="3004" t="s">
        <v>3527</v>
      </c>
      <c r="D187" s="3007" t="s">
        <v>3821</v>
      </c>
      <c r="E187" s="3008" t="s">
        <v>3822</v>
      </c>
      <c r="F187" s="3011">
        <v>52.69</v>
      </c>
      <c r="G187" s="3011">
        <v>5.88</v>
      </c>
      <c r="H187" s="3004" t="s">
        <v>1373</v>
      </c>
      <c r="I187" s="3007" t="s">
        <v>3530</v>
      </c>
      <c r="J187" s="3010">
        <f t="shared" si="14"/>
        <v>56156</v>
      </c>
      <c r="K187" s="3007" t="str">
        <f t="shared" si="15"/>
        <v>12层</v>
      </c>
      <c r="L187" s="3007" t="str">
        <f t="shared" si="17"/>
        <v>9层</v>
      </c>
      <c r="N187" s="3002">
        <f t="shared" ca="1" si="13"/>
        <v>551875</v>
      </c>
    </row>
    <row r="188" spans="1:14" ht="24">
      <c r="A188" s="3007">
        <v>185</v>
      </c>
      <c r="B188" s="3007" t="s">
        <v>3244</v>
      </c>
      <c r="C188" s="3004" t="s">
        <v>3527</v>
      </c>
      <c r="D188" s="3007" t="s">
        <v>3823</v>
      </c>
      <c r="E188" s="3008" t="s">
        <v>3824</v>
      </c>
      <c r="F188" s="3011">
        <v>72.55</v>
      </c>
      <c r="G188" s="3011">
        <v>8.1</v>
      </c>
      <c r="H188" s="3004" t="s">
        <v>1373</v>
      </c>
      <c r="I188" s="3007" t="s">
        <v>3530</v>
      </c>
      <c r="J188" s="3010">
        <f t="shared" si="14"/>
        <v>56156</v>
      </c>
      <c r="K188" s="3007" t="str">
        <f t="shared" si="15"/>
        <v>12层</v>
      </c>
      <c r="L188" s="3007" t="str">
        <f t="shared" si="17"/>
        <v>9层</v>
      </c>
      <c r="N188" s="3002">
        <f t="shared" ca="1" si="13"/>
        <v>759889</v>
      </c>
    </row>
    <row r="189" spans="1:14" ht="24">
      <c r="A189" s="3007">
        <v>186</v>
      </c>
      <c r="B189" s="3007" t="s">
        <v>3245</v>
      </c>
      <c r="C189" s="3004" t="s">
        <v>3527</v>
      </c>
      <c r="D189" s="3007" t="s">
        <v>3825</v>
      </c>
      <c r="E189" s="3008" t="s">
        <v>3826</v>
      </c>
      <c r="F189" s="3011">
        <v>71.930000000000007</v>
      </c>
      <c r="G189" s="3011">
        <v>8.0299999999999994</v>
      </c>
      <c r="H189" s="3004" t="s">
        <v>1373</v>
      </c>
      <c r="I189" s="3007" t="s">
        <v>3530</v>
      </c>
      <c r="J189" s="3010">
        <f t="shared" si="14"/>
        <v>56156</v>
      </c>
      <c r="K189" s="3007" t="str">
        <f t="shared" si="15"/>
        <v>12层</v>
      </c>
      <c r="L189" s="3007" t="str">
        <f t="shared" si="17"/>
        <v>9层</v>
      </c>
      <c r="N189" s="3002">
        <f t="shared" ca="1" si="13"/>
        <v>753395</v>
      </c>
    </row>
    <row r="190" spans="1:14" ht="24">
      <c r="A190" s="3007">
        <v>187</v>
      </c>
      <c r="B190" s="3007" t="s">
        <v>3246</v>
      </c>
      <c r="C190" s="3004" t="s">
        <v>3527</v>
      </c>
      <c r="D190" s="3007" t="s">
        <v>3827</v>
      </c>
      <c r="E190" s="3008" t="s">
        <v>3828</v>
      </c>
      <c r="F190" s="3011">
        <v>52.69</v>
      </c>
      <c r="G190" s="3011">
        <v>5.88</v>
      </c>
      <c r="H190" s="3004" t="s">
        <v>1373</v>
      </c>
      <c r="I190" s="3007" t="s">
        <v>3530</v>
      </c>
      <c r="J190" s="3010">
        <f t="shared" si="14"/>
        <v>56156</v>
      </c>
      <c r="K190" s="3007" t="str">
        <f t="shared" si="15"/>
        <v>12层</v>
      </c>
      <c r="L190" s="3007" t="str">
        <f t="shared" si="17"/>
        <v>9层</v>
      </c>
      <c r="N190" s="3002">
        <f t="shared" ca="1" si="13"/>
        <v>551875</v>
      </c>
    </row>
    <row r="191" spans="1:14" ht="24">
      <c r="A191" s="3007">
        <v>188</v>
      </c>
      <c r="B191" s="3007" t="s">
        <v>3247</v>
      </c>
      <c r="C191" s="3004" t="s">
        <v>3527</v>
      </c>
      <c r="D191" s="3007" t="s">
        <v>3829</v>
      </c>
      <c r="E191" s="3008" t="s">
        <v>3830</v>
      </c>
      <c r="F191" s="3011">
        <v>52.72</v>
      </c>
      <c r="G191" s="3011">
        <v>5.88</v>
      </c>
      <c r="H191" s="3004" t="s">
        <v>1373</v>
      </c>
      <c r="I191" s="3007" t="s">
        <v>3530</v>
      </c>
      <c r="J191" s="3010">
        <f t="shared" si="14"/>
        <v>56156</v>
      </c>
      <c r="K191" s="3007" t="str">
        <f t="shared" si="15"/>
        <v>12层</v>
      </c>
      <c r="L191" s="3007" t="str">
        <f t="shared" si="17"/>
        <v>9层</v>
      </c>
      <c r="N191" s="3002">
        <f t="shared" ca="1" si="13"/>
        <v>552189</v>
      </c>
    </row>
    <row r="192" spans="1:14" ht="24">
      <c r="A192" s="3007">
        <v>189</v>
      </c>
      <c r="B192" s="3007" t="s">
        <v>3248</v>
      </c>
      <c r="C192" s="3004" t="s">
        <v>3527</v>
      </c>
      <c r="D192" s="3007" t="s">
        <v>3831</v>
      </c>
      <c r="E192" s="3008" t="s">
        <v>3832</v>
      </c>
      <c r="F192" s="3011">
        <v>52.06</v>
      </c>
      <c r="G192" s="3011">
        <v>5.81</v>
      </c>
      <c r="H192" s="3004" t="s">
        <v>1373</v>
      </c>
      <c r="I192" s="3007" t="s">
        <v>3530</v>
      </c>
      <c r="J192" s="3010">
        <f t="shared" si="14"/>
        <v>56156</v>
      </c>
      <c r="K192" s="3007" t="str">
        <f t="shared" si="15"/>
        <v>12层</v>
      </c>
      <c r="L192" s="3007" t="str">
        <f t="shared" si="17"/>
        <v>9层</v>
      </c>
      <c r="N192" s="3002">
        <f t="shared" ca="1" si="13"/>
        <v>545276</v>
      </c>
    </row>
    <row r="193" spans="1:14" ht="24">
      <c r="A193" s="3007">
        <v>190</v>
      </c>
      <c r="B193" s="3007" t="s">
        <v>3249</v>
      </c>
      <c r="C193" s="3004" t="s">
        <v>3527</v>
      </c>
      <c r="D193" s="3007" t="s">
        <v>3833</v>
      </c>
      <c r="E193" s="3008" t="s">
        <v>3834</v>
      </c>
      <c r="F193" s="3011">
        <v>64.349999999999994</v>
      </c>
      <c r="G193" s="3011">
        <v>7.18</v>
      </c>
      <c r="H193" s="3004" t="s">
        <v>1373</v>
      </c>
      <c r="I193" s="3007" t="s">
        <v>3530</v>
      </c>
      <c r="J193" s="3010">
        <f t="shared" si="14"/>
        <v>56156</v>
      </c>
      <c r="K193" s="3007" t="str">
        <f t="shared" si="15"/>
        <v>12层</v>
      </c>
      <c r="L193" s="3007" t="str">
        <f t="shared" si="17"/>
        <v>9层</v>
      </c>
      <c r="N193" s="3002">
        <f t="shared" ca="1" si="13"/>
        <v>674002</v>
      </c>
    </row>
    <row r="194" spans="1:14" ht="24">
      <c r="A194" s="3007">
        <v>191</v>
      </c>
      <c r="B194" s="3007" t="s">
        <v>3250</v>
      </c>
      <c r="C194" s="3004" t="s">
        <v>3527</v>
      </c>
      <c r="D194" s="3007" t="s">
        <v>3835</v>
      </c>
      <c r="E194" s="3008" t="s">
        <v>3836</v>
      </c>
      <c r="F194" s="3011">
        <v>50.65</v>
      </c>
      <c r="G194" s="3011">
        <v>5.65</v>
      </c>
      <c r="H194" s="3004" t="s">
        <v>1373</v>
      </c>
      <c r="I194" s="3007" t="s">
        <v>3530</v>
      </c>
      <c r="J194" s="3010">
        <f t="shared" si="14"/>
        <v>56156</v>
      </c>
      <c r="K194" s="3007" t="str">
        <f t="shared" si="15"/>
        <v>12层</v>
      </c>
      <c r="L194" s="3007" t="s">
        <v>3837</v>
      </c>
      <c r="N194" s="3002">
        <f t="shared" ca="1" si="13"/>
        <v>530508</v>
      </c>
    </row>
    <row r="195" spans="1:14" ht="24">
      <c r="A195" s="3007">
        <v>192</v>
      </c>
      <c r="B195" s="3007" t="s">
        <v>3251</v>
      </c>
      <c r="C195" s="3004" t="s">
        <v>3527</v>
      </c>
      <c r="D195" s="3007" t="s">
        <v>3838</v>
      </c>
      <c r="E195" s="3008" t="s">
        <v>3839</v>
      </c>
      <c r="F195" s="3011">
        <v>52.4</v>
      </c>
      <c r="G195" s="3011">
        <v>5.85</v>
      </c>
      <c r="H195" s="3004" t="s">
        <v>1373</v>
      </c>
      <c r="I195" s="3007" t="s">
        <v>3530</v>
      </c>
      <c r="J195" s="3010">
        <f t="shared" si="14"/>
        <v>56156</v>
      </c>
      <c r="K195" s="3007" t="str">
        <f t="shared" si="15"/>
        <v>12层</v>
      </c>
      <c r="L195" s="3007" t="str">
        <f>$L$194</f>
        <v>10层</v>
      </c>
      <c r="N195" s="3002">
        <f t="shared" ca="1" si="13"/>
        <v>548838</v>
      </c>
    </row>
    <row r="196" spans="1:14" ht="24">
      <c r="A196" s="3007">
        <v>193</v>
      </c>
      <c r="B196" s="3007" t="s">
        <v>3252</v>
      </c>
      <c r="C196" s="3004" t="s">
        <v>3840</v>
      </c>
      <c r="D196" s="3007" t="s">
        <v>3841</v>
      </c>
      <c r="E196" s="3008" t="s">
        <v>3842</v>
      </c>
      <c r="F196" s="3011">
        <v>52.39</v>
      </c>
      <c r="G196" s="3011">
        <v>5.85</v>
      </c>
      <c r="H196" s="3004" t="s">
        <v>1373</v>
      </c>
      <c r="I196" s="3007" t="s">
        <v>3843</v>
      </c>
      <c r="J196" s="3010">
        <f t="shared" si="14"/>
        <v>56156</v>
      </c>
      <c r="K196" s="3007" t="str">
        <f t="shared" si="15"/>
        <v>12层</v>
      </c>
      <c r="L196" s="3007" t="str">
        <f t="shared" ref="L196:L216" si="18">$L$194</f>
        <v>10层</v>
      </c>
      <c r="N196" s="3002">
        <f t="shared" ca="1" si="13"/>
        <v>548733</v>
      </c>
    </row>
    <row r="197" spans="1:14" ht="24">
      <c r="A197" s="3007">
        <v>194</v>
      </c>
      <c r="B197" s="3007" t="s">
        <v>3253</v>
      </c>
      <c r="C197" s="3004" t="s">
        <v>3527</v>
      </c>
      <c r="D197" s="3007" t="s">
        <v>3844</v>
      </c>
      <c r="E197" s="3008" t="s">
        <v>3845</v>
      </c>
      <c r="F197" s="3011">
        <v>52.4</v>
      </c>
      <c r="G197" s="3011">
        <v>5.85</v>
      </c>
      <c r="H197" s="3004" t="s">
        <v>1373</v>
      </c>
      <c r="I197" s="3007" t="s">
        <v>3530</v>
      </c>
      <c r="J197" s="3010">
        <f t="shared" si="14"/>
        <v>56156</v>
      </c>
      <c r="K197" s="3007" t="str">
        <f t="shared" si="15"/>
        <v>12层</v>
      </c>
      <c r="L197" s="3007" t="str">
        <f t="shared" si="18"/>
        <v>10层</v>
      </c>
      <c r="N197" s="3002">
        <f t="shared" ref="N197:N228" ca="1" si="19">ROUND(F197*$M$4,0)</f>
        <v>548838</v>
      </c>
    </row>
    <row r="198" spans="1:14" ht="24">
      <c r="A198" s="3007">
        <v>195</v>
      </c>
      <c r="B198" s="3007" t="s">
        <v>3254</v>
      </c>
      <c r="C198" s="3004" t="s">
        <v>3527</v>
      </c>
      <c r="D198" s="3007" t="s">
        <v>3846</v>
      </c>
      <c r="E198" s="3008" t="s">
        <v>3847</v>
      </c>
      <c r="F198" s="3011">
        <v>70.760000000000005</v>
      </c>
      <c r="G198" s="3011">
        <v>7.9</v>
      </c>
      <c r="H198" s="3004" t="s">
        <v>1373</v>
      </c>
      <c r="I198" s="3007" t="s">
        <v>3530</v>
      </c>
      <c r="J198" s="3010">
        <f t="shared" ref="J198:J228" si="20">$J$4</f>
        <v>56156</v>
      </c>
      <c r="K198" s="3007" t="str">
        <f t="shared" ref="K198:K228" si="21">$K$4</f>
        <v>12层</v>
      </c>
      <c r="L198" s="3007" t="str">
        <f t="shared" si="18"/>
        <v>10层</v>
      </c>
      <c r="N198" s="3002">
        <f t="shared" ca="1" si="19"/>
        <v>741140</v>
      </c>
    </row>
    <row r="199" spans="1:14" ht="24">
      <c r="A199" s="3007">
        <v>196</v>
      </c>
      <c r="B199" s="3007" t="s">
        <v>3255</v>
      </c>
      <c r="C199" s="3004" t="s">
        <v>3527</v>
      </c>
      <c r="D199" s="3007" t="s">
        <v>3848</v>
      </c>
      <c r="E199" s="3008" t="s">
        <v>3849</v>
      </c>
      <c r="F199" s="3011">
        <v>71.180000000000007</v>
      </c>
      <c r="G199" s="3011">
        <v>7.94</v>
      </c>
      <c r="H199" s="3004" t="s">
        <v>1373</v>
      </c>
      <c r="I199" s="3007" t="s">
        <v>3530</v>
      </c>
      <c r="J199" s="3010">
        <f t="shared" si="20"/>
        <v>56156</v>
      </c>
      <c r="K199" s="3007" t="str">
        <f t="shared" si="21"/>
        <v>12层</v>
      </c>
      <c r="L199" s="3007" t="str">
        <f t="shared" si="18"/>
        <v>10层</v>
      </c>
      <c r="N199" s="3002">
        <f t="shared" ca="1" si="19"/>
        <v>745539</v>
      </c>
    </row>
    <row r="200" spans="1:14" ht="24">
      <c r="A200" s="3007">
        <v>197</v>
      </c>
      <c r="B200" s="3007" t="s">
        <v>3256</v>
      </c>
      <c r="C200" s="3004" t="s">
        <v>3527</v>
      </c>
      <c r="D200" s="3007" t="s">
        <v>3850</v>
      </c>
      <c r="E200" s="3008" t="s">
        <v>3851</v>
      </c>
      <c r="F200" s="3011">
        <v>52</v>
      </c>
      <c r="G200" s="3011">
        <v>5.8</v>
      </c>
      <c r="H200" s="3004" t="s">
        <v>1373</v>
      </c>
      <c r="I200" s="3007" t="s">
        <v>3530</v>
      </c>
      <c r="J200" s="3010">
        <f t="shared" si="20"/>
        <v>56156</v>
      </c>
      <c r="K200" s="3007" t="str">
        <f t="shared" si="21"/>
        <v>12层</v>
      </c>
      <c r="L200" s="3007" t="str">
        <f t="shared" si="18"/>
        <v>10层</v>
      </c>
      <c r="N200" s="3002">
        <f t="shared" ca="1" si="19"/>
        <v>544648</v>
      </c>
    </row>
    <row r="201" spans="1:14" ht="24">
      <c r="A201" s="3007">
        <v>198</v>
      </c>
      <c r="B201" s="3007" t="s">
        <v>3257</v>
      </c>
      <c r="C201" s="3004" t="s">
        <v>3527</v>
      </c>
      <c r="D201" s="3007" t="s">
        <v>3852</v>
      </c>
      <c r="E201" s="3008" t="s">
        <v>3853</v>
      </c>
      <c r="F201" s="3011">
        <v>52.07</v>
      </c>
      <c r="G201" s="3011">
        <v>5.81</v>
      </c>
      <c r="H201" s="3004" t="s">
        <v>1373</v>
      </c>
      <c r="I201" s="3007" t="s">
        <v>3530</v>
      </c>
      <c r="J201" s="3010">
        <f t="shared" si="20"/>
        <v>56156</v>
      </c>
      <c r="K201" s="3007" t="str">
        <f t="shared" si="21"/>
        <v>12层</v>
      </c>
      <c r="L201" s="3007" t="str">
        <f t="shared" si="18"/>
        <v>10层</v>
      </c>
      <c r="N201" s="3002">
        <f t="shared" ca="1" si="19"/>
        <v>545381</v>
      </c>
    </row>
    <row r="202" spans="1:14" ht="24">
      <c r="A202" s="3007">
        <v>199</v>
      </c>
      <c r="B202" s="3007" t="s">
        <v>3258</v>
      </c>
      <c r="C202" s="3004" t="s">
        <v>3527</v>
      </c>
      <c r="D202" s="3007" t="s">
        <v>3854</v>
      </c>
      <c r="E202" s="3008" t="s">
        <v>3855</v>
      </c>
      <c r="F202" s="3011">
        <v>52.04</v>
      </c>
      <c r="G202" s="3011">
        <v>5.81</v>
      </c>
      <c r="H202" s="3004" t="s">
        <v>1373</v>
      </c>
      <c r="I202" s="3007" t="s">
        <v>3530</v>
      </c>
      <c r="J202" s="3010">
        <f t="shared" si="20"/>
        <v>56156</v>
      </c>
      <c r="K202" s="3007" t="str">
        <f t="shared" si="21"/>
        <v>12层</v>
      </c>
      <c r="L202" s="3007" t="str">
        <f t="shared" si="18"/>
        <v>10层</v>
      </c>
      <c r="N202" s="3002">
        <f t="shared" ca="1" si="19"/>
        <v>545067</v>
      </c>
    </row>
    <row r="203" spans="1:14" ht="24">
      <c r="A203" s="3007">
        <v>200</v>
      </c>
      <c r="B203" s="3007" t="s">
        <v>3259</v>
      </c>
      <c r="C203" s="3004" t="s">
        <v>3527</v>
      </c>
      <c r="D203" s="3007" t="s">
        <v>3856</v>
      </c>
      <c r="E203" s="3008" t="s">
        <v>3857</v>
      </c>
      <c r="F203" s="3011">
        <v>52.71</v>
      </c>
      <c r="G203" s="3011">
        <v>5.88</v>
      </c>
      <c r="H203" s="3004" t="s">
        <v>1373</v>
      </c>
      <c r="I203" s="3007" t="s">
        <v>3530</v>
      </c>
      <c r="J203" s="3010">
        <f t="shared" si="20"/>
        <v>56156</v>
      </c>
      <c r="K203" s="3007" t="str">
        <f t="shared" si="21"/>
        <v>12层</v>
      </c>
      <c r="L203" s="3007" t="str">
        <f t="shared" si="18"/>
        <v>10层</v>
      </c>
      <c r="N203" s="3002">
        <f t="shared" ca="1" si="19"/>
        <v>552085</v>
      </c>
    </row>
    <row r="204" spans="1:14" ht="24">
      <c r="A204" s="3007">
        <v>201</v>
      </c>
      <c r="B204" s="3007" t="s">
        <v>3260</v>
      </c>
      <c r="C204" s="3004" t="s">
        <v>3527</v>
      </c>
      <c r="D204" s="3007" t="s">
        <v>3858</v>
      </c>
      <c r="E204" s="3008" t="s">
        <v>3859</v>
      </c>
      <c r="F204" s="3011">
        <v>60.92</v>
      </c>
      <c r="G204" s="3011">
        <v>6.8</v>
      </c>
      <c r="H204" s="3004" t="s">
        <v>1373</v>
      </c>
      <c r="I204" s="3007" t="s">
        <v>3530</v>
      </c>
      <c r="J204" s="3010">
        <f t="shared" si="20"/>
        <v>56156</v>
      </c>
      <c r="K204" s="3007" t="str">
        <f t="shared" si="21"/>
        <v>12层</v>
      </c>
      <c r="L204" s="3007" t="str">
        <f t="shared" si="18"/>
        <v>10层</v>
      </c>
      <c r="N204" s="3002">
        <f t="shared" ca="1" si="19"/>
        <v>638076</v>
      </c>
    </row>
    <row r="205" spans="1:14" ht="24">
      <c r="A205" s="3007">
        <v>202</v>
      </c>
      <c r="B205" s="3007" t="s">
        <v>3261</v>
      </c>
      <c r="C205" s="3004" t="s">
        <v>3527</v>
      </c>
      <c r="D205" s="3007" t="s">
        <v>3860</v>
      </c>
      <c r="E205" s="3008" t="s">
        <v>3861</v>
      </c>
      <c r="F205" s="3011">
        <v>65.47</v>
      </c>
      <c r="G205" s="3011">
        <v>7.31</v>
      </c>
      <c r="H205" s="3004" t="s">
        <v>1373</v>
      </c>
      <c r="I205" s="3007" t="s">
        <v>3530</v>
      </c>
      <c r="J205" s="3010">
        <f t="shared" si="20"/>
        <v>56156</v>
      </c>
      <c r="K205" s="3007" t="str">
        <f t="shared" si="21"/>
        <v>12层</v>
      </c>
      <c r="L205" s="3007" t="str">
        <f t="shared" si="18"/>
        <v>10层</v>
      </c>
      <c r="N205" s="3002">
        <f t="shared" ca="1" si="19"/>
        <v>685733</v>
      </c>
    </row>
    <row r="206" spans="1:14" ht="24">
      <c r="A206" s="3007">
        <v>203</v>
      </c>
      <c r="B206" s="3007" t="s">
        <v>3262</v>
      </c>
      <c r="C206" s="3004" t="s">
        <v>3527</v>
      </c>
      <c r="D206" s="3007" t="s">
        <v>3862</v>
      </c>
      <c r="E206" s="3008" t="s">
        <v>3863</v>
      </c>
      <c r="F206" s="3011">
        <v>60.33</v>
      </c>
      <c r="G206" s="3011">
        <v>6.73</v>
      </c>
      <c r="H206" s="3004" t="s">
        <v>1373</v>
      </c>
      <c r="I206" s="3007" t="s">
        <v>3530</v>
      </c>
      <c r="J206" s="3010">
        <f t="shared" si="20"/>
        <v>56156</v>
      </c>
      <c r="K206" s="3007" t="str">
        <f t="shared" si="21"/>
        <v>12层</v>
      </c>
      <c r="L206" s="3007" t="str">
        <f t="shared" si="18"/>
        <v>10层</v>
      </c>
      <c r="N206" s="3002">
        <f t="shared" ca="1" si="19"/>
        <v>631896</v>
      </c>
    </row>
    <row r="207" spans="1:14" ht="24">
      <c r="A207" s="3007">
        <v>204</v>
      </c>
      <c r="B207" s="3007" t="s">
        <v>3263</v>
      </c>
      <c r="C207" s="3004" t="s">
        <v>3527</v>
      </c>
      <c r="D207" s="3007" t="s">
        <v>3864</v>
      </c>
      <c r="E207" s="3008" t="s">
        <v>3865</v>
      </c>
      <c r="F207" s="3011">
        <v>52.78</v>
      </c>
      <c r="G207" s="3011">
        <v>5.89</v>
      </c>
      <c r="H207" s="3004" t="s">
        <v>1373</v>
      </c>
      <c r="I207" s="3007" t="s">
        <v>3530</v>
      </c>
      <c r="J207" s="3010">
        <f t="shared" si="20"/>
        <v>56156</v>
      </c>
      <c r="K207" s="3007" t="str">
        <f t="shared" si="21"/>
        <v>12层</v>
      </c>
      <c r="L207" s="3007" t="str">
        <f t="shared" si="18"/>
        <v>10层</v>
      </c>
      <c r="N207" s="3002">
        <f t="shared" ca="1" si="19"/>
        <v>552818</v>
      </c>
    </row>
    <row r="208" spans="1:14" ht="24">
      <c r="A208" s="3007">
        <v>205</v>
      </c>
      <c r="B208" s="3007" t="s">
        <v>3264</v>
      </c>
      <c r="C208" s="3004" t="s">
        <v>3527</v>
      </c>
      <c r="D208" s="3007" t="s">
        <v>3866</v>
      </c>
      <c r="E208" s="3008" t="s">
        <v>3867</v>
      </c>
      <c r="F208" s="3011">
        <v>52.72</v>
      </c>
      <c r="G208" s="3011">
        <v>5.88</v>
      </c>
      <c r="H208" s="3004" t="s">
        <v>1373</v>
      </c>
      <c r="I208" s="3007" t="s">
        <v>3530</v>
      </c>
      <c r="J208" s="3010">
        <f t="shared" si="20"/>
        <v>56156</v>
      </c>
      <c r="K208" s="3007" t="str">
        <f t="shared" si="21"/>
        <v>12层</v>
      </c>
      <c r="L208" s="3007" t="str">
        <f t="shared" si="18"/>
        <v>10层</v>
      </c>
      <c r="N208" s="3002">
        <f t="shared" ca="1" si="19"/>
        <v>552189</v>
      </c>
    </row>
    <row r="209" spans="1:14" ht="24">
      <c r="A209" s="3007">
        <v>206</v>
      </c>
      <c r="B209" s="3007" t="s">
        <v>3265</v>
      </c>
      <c r="C209" s="3004" t="s">
        <v>3527</v>
      </c>
      <c r="D209" s="3007" t="s">
        <v>3868</v>
      </c>
      <c r="E209" s="3008" t="s">
        <v>3869</v>
      </c>
      <c r="F209" s="3011">
        <v>52.72</v>
      </c>
      <c r="G209" s="3011">
        <v>5.88</v>
      </c>
      <c r="H209" s="3004" t="s">
        <v>1373</v>
      </c>
      <c r="I209" s="3007" t="s">
        <v>3530</v>
      </c>
      <c r="J209" s="3010">
        <f t="shared" si="20"/>
        <v>56156</v>
      </c>
      <c r="K209" s="3007" t="str">
        <f t="shared" si="21"/>
        <v>12层</v>
      </c>
      <c r="L209" s="3007" t="str">
        <f t="shared" si="18"/>
        <v>10层</v>
      </c>
      <c r="N209" s="3002">
        <f t="shared" ca="1" si="19"/>
        <v>552189</v>
      </c>
    </row>
    <row r="210" spans="1:14" ht="24">
      <c r="A210" s="3007">
        <v>207</v>
      </c>
      <c r="B210" s="3007" t="s">
        <v>3266</v>
      </c>
      <c r="C210" s="3004" t="s">
        <v>3527</v>
      </c>
      <c r="D210" s="3007" t="s">
        <v>3870</v>
      </c>
      <c r="E210" s="3008" t="s">
        <v>3871</v>
      </c>
      <c r="F210" s="3011">
        <v>52.69</v>
      </c>
      <c r="G210" s="3011">
        <v>5.88</v>
      </c>
      <c r="H210" s="3004" t="s">
        <v>1373</v>
      </c>
      <c r="I210" s="3007" t="s">
        <v>3530</v>
      </c>
      <c r="J210" s="3010">
        <f t="shared" si="20"/>
        <v>56156</v>
      </c>
      <c r="K210" s="3007" t="str">
        <f t="shared" si="21"/>
        <v>12层</v>
      </c>
      <c r="L210" s="3007" t="str">
        <f t="shared" si="18"/>
        <v>10层</v>
      </c>
      <c r="N210" s="3002">
        <f t="shared" ca="1" si="19"/>
        <v>551875</v>
      </c>
    </row>
    <row r="211" spans="1:14" ht="24">
      <c r="A211" s="3007">
        <v>208</v>
      </c>
      <c r="B211" s="3007" t="s">
        <v>3267</v>
      </c>
      <c r="C211" s="3004" t="s">
        <v>3527</v>
      </c>
      <c r="D211" s="3007" t="s">
        <v>3872</v>
      </c>
      <c r="E211" s="3008" t="s">
        <v>3873</v>
      </c>
      <c r="F211" s="3011">
        <v>72.55</v>
      </c>
      <c r="G211" s="3011">
        <v>8.1</v>
      </c>
      <c r="H211" s="3004" t="s">
        <v>1373</v>
      </c>
      <c r="I211" s="3007" t="s">
        <v>3530</v>
      </c>
      <c r="J211" s="3010">
        <f t="shared" si="20"/>
        <v>56156</v>
      </c>
      <c r="K211" s="3007" t="str">
        <f t="shared" si="21"/>
        <v>12层</v>
      </c>
      <c r="L211" s="3007" t="str">
        <f t="shared" si="18"/>
        <v>10层</v>
      </c>
      <c r="N211" s="3002">
        <f t="shared" ca="1" si="19"/>
        <v>759889</v>
      </c>
    </row>
    <row r="212" spans="1:14" ht="24">
      <c r="A212" s="3007">
        <v>209</v>
      </c>
      <c r="B212" s="3007" t="s">
        <v>3268</v>
      </c>
      <c r="C212" s="3004" t="s">
        <v>3527</v>
      </c>
      <c r="D212" s="3007" t="s">
        <v>3874</v>
      </c>
      <c r="E212" s="3008" t="s">
        <v>3875</v>
      </c>
      <c r="F212" s="3011">
        <v>71.930000000000007</v>
      </c>
      <c r="G212" s="3011">
        <v>8.0299999999999994</v>
      </c>
      <c r="H212" s="3004" t="s">
        <v>1373</v>
      </c>
      <c r="I212" s="3007" t="s">
        <v>3530</v>
      </c>
      <c r="J212" s="3010">
        <f t="shared" si="20"/>
        <v>56156</v>
      </c>
      <c r="K212" s="3007" t="str">
        <f t="shared" si="21"/>
        <v>12层</v>
      </c>
      <c r="L212" s="3007" t="str">
        <f t="shared" si="18"/>
        <v>10层</v>
      </c>
      <c r="N212" s="3002">
        <f t="shared" ca="1" si="19"/>
        <v>753395</v>
      </c>
    </row>
    <row r="213" spans="1:14" ht="24">
      <c r="A213" s="3007">
        <v>210</v>
      </c>
      <c r="B213" s="3007" t="s">
        <v>3269</v>
      </c>
      <c r="C213" s="3004" t="s">
        <v>3527</v>
      </c>
      <c r="D213" s="3007" t="s">
        <v>3876</v>
      </c>
      <c r="E213" s="3008" t="s">
        <v>3877</v>
      </c>
      <c r="F213" s="3011">
        <v>52.69</v>
      </c>
      <c r="G213" s="3011">
        <v>5.88</v>
      </c>
      <c r="H213" s="3004" t="s">
        <v>1373</v>
      </c>
      <c r="I213" s="3007" t="s">
        <v>3843</v>
      </c>
      <c r="J213" s="3010">
        <f t="shared" si="20"/>
        <v>56156</v>
      </c>
      <c r="K213" s="3007" t="str">
        <f t="shared" si="21"/>
        <v>12层</v>
      </c>
      <c r="L213" s="3007" t="str">
        <f t="shared" si="18"/>
        <v>10层</v>
      </c>
      <c r="N213" s="3002">
        <f t="shared" ca="1" si="19"/>
        <v>551875</v>
      </c>
    </row>
    <row r="214" spans="1:14" ht="24">
      <c r="A214" s="3007">
        <v>211</v>
      </c>
      <c r="B214" s="3007" t="s">
        <v>3270</v>
      </c>
      <c r="C214" s="3004" t="s">
        <v>3840</v>
      </c>
      <c r="D214" s="3007" t="s">
        <v>3878</v>
      </c>
      <c r="E214" s="3008" t="s">
        <v>3879</v>
      </c>
      <c r="F214" s="3011">
        <v>52.72</v>
      </c>
      <c r="G214" s="3011">
        <v>5.88</v>
      </c>
      <c r="H214" s="3004" t="s">
        <v>1373</v>
      </c>
      <c r="I214" s="3007" t="s">
        <v>3843</v>
      </c>
      <c r="J214" s="3010">
        <f t="shared" si="20"/>
        <v>56156</v>
      </c>
      <c r="K214" s="3007" t="str">
        <f t="shared" si="21"/>
        <v>12层</v>
      </c>
      <c r="L214" s="3007" t="str">
        <f t="shared" si="18"/>
        <v>10层</v>
      </c>
      <c r="N214" s="3002">
        <f t="shared" ca="1" si="19"/>
        <v>552189</v>
      </c>
    </row>
    <row r="215" spans="1:14" ht="24">
      <c r="A215" s="3007">
        <v>212</v>
      </c>
      <c r="B215" s="3007" t="s">
        <v>3271</v>
      </c>
      <c r="C215" s="3004" t="s">
        <v>3840</v>
      </c>
      <c r="D215" s="3007" t="s">
        <v>3880</v>
      </c>
      <c r="E215" s="3008" t="s">
        <v>3881</v>
      </c>
      <c r="F215" s="3011">
        <v>52.06</v>
      </c>
      <c r="G215" s="3011">
        <v>5.81</v>
      </c>
      <c r="H215" s="3004" t="s">
        <v>1373</v>
      </c>
      <c r="I215" s="3007" t="s">
        <v>3843</v>
      </c>
      <c r="J215" s="3010">
        <f t="shared" si="20"/>
        <v>56156</v>
      </c>
      <c r="K215" s="3007" t="str">
        <f t="shared" si="21"/>
        <v>12层</v>
      </c>
      <c r="L215" s="3007" t="str">
        <f t="shared" si="18"/>
        <v>10层</v>
      </c>
      <c r="N215" s="3002">
        <f t="shared" ca="1" si="19"/>
        <v>545276</v>
      </c>
    </row>
    <row r="216" spans="1:14" ht="24">
      <c r="A216" s="3007">
        <v>213</v>
      </c>
      <c r="B216" s="3007" t="s">
        <v>3272</v>
      </c>
      <c r="C216" s="3004" t="s">
        <v>3840</v>
      </c>
      <c r="D216" s="3007" t="s">
        <v>3882</v>
      </c>
      <c r="E216" s="3008" t="s">
        <v>3883</v>
      </c>
      <c r="F216" s="3011">
        <v>64.349999999999994</v>
      </c>
      <c r="G216" s="3011">
        <v>7.18</v>
      </c>
      <c r="H216" s="3004" t="s">
        <v>1373</v>
      </c>
      <c r="I216" s="3007" t="s">
        <v>3843</v>
      </c>
      <c r="J216" s="3010">
        <f t="shared" si="20"/>
        <v>56156</v>
      </c>
      <c r="K216" s="3007" t="str">
        <f t="shared" si="21"/>
        <v>12层</v>
      </c>
      <c r="L216" s="3007" t="str">
        <f t="shared" si="18"/>
        <v>10层</v>
      </c>
      <c r="N216" s="3002">
        <f t="shared" ca="1" si="19"/>
        <v>674002</v>
      </c>
    </row>
    <row r="217" spans="1:14" ht="24">
      <c r="A217" s="3007">
        <v>214</v>
      </c>
      <c r="B217" s="3007" t="s">
        <v>3273</v>
      </c>
      <c r="C217" s="3004" t="s">
        <v>3840</v>
      </c>
      <c r="D217" s="3007" t="s">
        <v>3884</v>
      </c>
      <c r="E217" s="3008" t="s">
        <v>3885</v>
      </c>
      <c r="F217" s="3011">
        <v>51.51</v>
      </c>
      <c r="G217" s="3011">
        <v>5.75</v>
      </c>
      <c r="H217" s="3004" t="s">
        <v>1373</v>
      </c>
      <c r="I217" s="3007" t="s">
        <v>3563</v>
      </c>
      <c r="J217" s="3010">
        <f t="shared" si="20"/>
        <v>56156</v>
      </c>
      <c r="K217" s="3007" t="str">
        <f t="shared" si="21"/>
        <v>12层</v>
      </c>
      <c r="L217" s="3007" t="s">
        <v>3886</v>
      </c>
      <c r="N217" s="3002">
        <f t="shared" ca="1" si="19"/>
        <v>539516</v>
      </c>
    </row>
    <row r="218" spans="1:14" ht="24">
      <c r="A218" s="3007">
        <v>215</v>
      </c>
      <c r="B218" s="3007" t="s">
        <v>3274</v>
      </c>
      <c r="C218" s="3004" t="s">
        <v>3564</v>
      </c>
      <c r="D218" s="3007" t="s">
        <v>3887</v>
      </c>
      <c r="E218" s="3008" t="s">
        <v>3888</v>
      </c>
      <c r="F218" s="3011">
        <v>53.3</v>
      </c>
      <c r="G218" s="3011">
        <v>5.95</v>
      </c>
      <c r="H218" s="3004" t="s">
        <v>1373</v>
      </c>
      <c r="I218" s="3007" t="s">
        <v>3563</v>
      </c>
      <c r="J218" s="3010">
        <f t="shared" si="20"/>
        <v>56156</v>
      </c>
      <c r="K218" s="3007" t="str">
        <f t="shared" si="21"/>
        <v>12层</v>
      </c>
      <c r="L218" s="3007" t="str">
        <f>$L$217</f>
        <v>11层</v>
      </c>
      <c r="N218" s="3002">
        <f t="shared" ca="1" si="19"/>
        <v>558264</v>
      </c>
    </row>
    <row r="219" spans="1:14" ht="24">
      <c r="A219" s="3007">
        <v>216</v>
      </c>
      <c r="B219" s="3007" t="s">
        <v>3275</v>
      </c>
      <c r="C219" s="3004" t="s">
        <v>3840</v>
      </c>
      <c r="D219" s="3007" t="s">
        <v>3889</v>
      </c>
      <c r="E219" s="3008" t="s">
        <v>3890</v>
      </c>
      <c r="F219" s="3011">
        <v>53.28</v>
      </c>
      <c r="G219" s="3011">
        <v>5.95</v>
      </c>
      <c r="H219" s="3004" t="s">
        <v>1373</v>
      </c>
      <c r="I219" s="3007" t="s">
        <v>3843</v>
      </c>
      <c r="J219" s="3010">
        <f t="shared" si="20"/>
        <v>56156</v>
      </c>
      <c r="K219" s="3007" t="str">
        <f t="shared" si="21"/>
        <v>12层</v>
      </c>
      <c r="L219" s="3007" t="str">
        <f t="shared" ref="L219:L228" si="22">$L$217</f>
        <v>11层</v>
      </c>
      <c r="N219" s="3002">
        <f t="shared" ca="1" si="19"/>
        <v>558055</v>
      </c>
    </row>
    <row r="220" spans="1:14" ht="24">
      <c r="A220" s="3007">
        <v>217</v>
      </c>
      <c r="B220" s="3007" t="s">
        <v>3276</v>
      </c>
      <c r="C220" s="3004" t="s">
        <v>3527</v>
      </c>
      <c r="D220" s="3007" t="s">
        <v>3891</v>
      </c>
      <c r="E220" s="3008" t="s">
        <v>3892</v>
      </c>
      <c r="F220" s="3011">
        <v>53.3</v>
      </c>
      <c r="G220" s="3011">
        <v>5.95</v>
      </c>
      <c r="H220" s="3004" t="s">
        <v>1373</v>
      </c>
      <c r="I220" s="3007" t="s">
        <v>3530</v>
      </c>
      <c r="J220" s="3010">
        <f t="shared" si="20"/>
        <v>56156</v>
      </c>
      <c r="K220" s="3007" t="str">
        <f t="shared" si="21"/>
        <v>12层</v>
      </c>
      <c r="L220" s="3007" t="str">
        <f t="shared" si="22"/>
        <v>11层</v>
      </c>
      <c r="N220" s="3002">
        <f t="shared" ca="1" si="19"/>
        <v>558264</v>
      </c>
    </row>
    <row r="221" spans="1:14" ht="24">
      <c r="A221" s="3007">
        <v>218</v>
      </c>
      <c r="B221" s="3007" t="s">
        <v>3277</v>
      </c>
      <c r="C221" s="3004" t="s">
        <v>3527</v>
      </c>
      <c r="D221" s="3007" t="s">
        <v>3893</v>
      </c>
      <c r="E221" s="3008" t="s">
        <v>3894</v>
      </c>
      <c r="F221" s="3011">
        <v>71.97</v>
      </c>
      <c r="G221" s="3011">
        <v>8.0299999999999994</v>
      </c>
      <c r="H221" s="3004" t="s">
        <v>1373</v>
      </c>
      <c r="I221" s="3007" t="s">
        <v>3530</v>
      </c>
      <c r="J221" s="3010">
        <f t="shared" si="20"/>
        <v>56156</v>
      </c>
      <c r="K221" s="3007" t="str">
        <f t="shared" si="21"/>
        <v>12层</v>
      </c>
      <c r="L221" s="3007" t="str">
        <f t="shared" si="22"/>
        <v>11层</v>
      </c>
      <c r="N221" s="3002">
        <f t="shared" ca="1" si="19"/>
        <v>753814</v>
      </c>
    </row>
    <row r="222" spans="1:14" ht="24">
      <c r="A222" s="3007">
        <v>219</v>
      </c>
      <c r="B222" s="3007" t="s">
        <v>3278</v>
      </c>
      <c r="C222" s="3004" t="s">
        <v>3527</v>
      </c>
      <c r="D222" s="3007" t="s">
        <v>3895</v>
      </c>
      <c r="E222" s="3008" t="s">
        <v>3896</v>
      </c>
      <c r="F222" s="3011">
        <v>72.39</v>
      </c>
      <c r="G222" s="3011">
        <v>8.08</v>
      </c>
      <c r="H222" s="3004" t="s">
        <v>1373</v>
      </c>
      <c r="I222" s="3007" t="s">
        <v>3530</v>
      </c>
      <c r="J222" s="3010">
        <f t="shared" si="20"/>
        <v>56156</v>
      </c>
      <c r="K222" s="3007" t="str">
        <f t="shared" si="21"/>
        <v>12层</v>
      </c>
      <c r="L222" s="3007" t="str">
        <f t="shared" si="22"/>
        <v>11层</v>
      </c>
      <c r="N222" s="3002">
        <f t="shared" ca="1" si="19"/>
        <v>758213</v>
      </c>
    </row>
    <row r="223" spans="1:14" ht="24">
      <c r="A223" s="3007">
        <v>220</v>
      </c>
      <c r="B223" s="3007" t="s">
        <v>3279</v>
      </c>
      <c r="C223" s="3004" t="s">
        <v>3527</v>
      </c>
      <c r="D223" s="3007" t="s">
        <v>3897</v>
      </c>
      <c r="E223" s="3008" t="s">
        <v>3898</v>
      </c>
      <c r="F223" s="3011">
        <v>52.89</v>
      </c>
      <c r="G223" s="3011">
        <v>5.9</v>
      </c>
      <c r="H223" s="3004" t="s">
        <v>1373</v>
      </c>
      <c r="I223" s="3007" t="s">
        <v>3843</v>
      </c>
      <c r="J223" s="3010">
        <f t="shared" si="20"/>
        <v>56156</v>
      </c>
      <c r="K223" s="3007" t="str">
        <f t="shared" si="21"/>
        <v>12层</v>
      </c>
      <c r="L223" s="3007" t="str">
        <f t="shared" si="22"/>
        <v>11层</v>
      </c>
      <c r="N223" s="3002">
        <f t="shared" ca="1" si="19"/>
        <v>553970</v>
      </c>
    </row>
    <row r="224" spans="1:14" ht="24">
      <c r="A224" s="3007">
        <v>221</v>
      </c>
      <c r="B224" s="3007" t="s">
        <v>3280</v>
      </c>
      <c r="C224" s="3004" t="s">
        <v>3840</v>
      </c>
      <c r="D224" s="3007" t="s">
        <v>3899</v>
      </c>
      <c r="E224" s="3008" t="s">
        <v>3900</v>
      </c>
      <c r="F224" s="3011">
        <v>52.96</v>
      </c>
      <c r="G224" s="3011">
        <v>5.91</v>
      </c>
      <c r="H224" s="3004" t="s">
        <v>1373</v>
      </c>
      <c r="I224" s="3007" t="s">
        <v>3901</v>
      </c>
      <c r="J224" s="3010">
        <f t="shared" si="20"/>
        <v>56156</v>
      </c>
      <c r="K224" s="3007" t="str">
        <f t="shared" si="21"/>
        <v>12层</v>
      </c>
      <c r="L224" s="3007" t="str">
        <f t="shared" si="22"/>
        <v>11层</v>
      </c>
      <c r="N224" s="3002">
        <f t="shared" ca="1" si="19"/>
        <v>554703</v>
      </c>
    </row>
    <row r="225" spans="1:14" ht="24">
      <c r="A225" s="3007">
        <v>222</v>
      </c>
      <c r="B225" s="3007" t="s">
        <v>3281</v>
      </c>
      <c r="C225" s="3004" t="s">
        <v>3902</v>
      </c>
      <c r="D225" s="3007" t="s">
        <v>3903</v>
      </c>
      <c r="E225" s="3008" t="s">
        <v>3904</v>
      </c>
      <c r="F225" s="3011">
        <v>52.93</v>
      </c>
      <c r="G225" s="3011">
        <v>5.91</v>
      </c>
      <c r="H225" s="3004" t="s">
        <v>1373</v>
      </c>
      <c r="I225" s="3007" t="s">
        <v>3563</v>
      </c>
      <c r="J225" s="3010">
        <f t="shared" si="20"/>
        <v>56156</v>
      </c>
      <c r="K225" s="3007" t="str">
        <f t="shared" si="21"/>
        <v>12层</v>
      </c>
      <c r="L225" s="3007" t="str">
        <f t="shared" si="22"/>
        <v>11层</v>
      </c>
      <c r="N225" s="3002">
        <f t="shared" ca="1" si="19"/>
        <v>554389</v>
      </c>
    </row>
    <row r="226" spans="1:14" ht="24">
      <c r="A226" s="3007">
        <v>223</v>
      </c>
      <c r="B226" s="3007" t="s">
        <v>3282</v>
      </c>
      <c r="C226" s="3004" t="s">
        <v>3564</v>
      </c>
      <c r="D226" s="3007" t="s">
        <v>3905</v>
      </c>
      <c r="E226" s="3008" t="s">
        <v>3906</v>
      </c>
      <c r="F226" s="3011">
        <v>53.61</v>
      </c>
      <c r="G226" s="3011">
        <v>5.98</v>
      </c>
      <c r="H226" s="3004" t="s">
        <v>1373</v>
      </c>
      <c r="I226" s="3007" t="s">
        <v>3563</v>
      </c>
      <c r="J226" s="3010">
        <f t="shared" si="20"/>
        <v>56156</v>
      </c>
      <c r="K226" s="3007" t="str">
        <f t="shared" si="21"/>
        <v>12层</v>
      </c>
      <c r="L226" s="3007" t="str">
        <f t="shared" si="22"/>
        <v>11层</v>
      </c>
      <c r="N226" s="3002">
        <f t="shared" ca="1" si="19"/>
        <v>561511</v>
      </c>
    </row>
    <row r="227" spans="1:14" ht="24">
      <c r="A227" s="3007">
        <v>224</v>
      </c>
      <c r="B227" s="3007" t="s">
        <v>3283</v>
      </c>
      <c r="C227" s="3004" t="s">
        <v>3564</v>
      </c>
      <c r="D227" s="3007" t="s">
        <v>3907</v>
      </c>
      <c r="E227" s="3008" t="s">
        <v>3908</v>
      </c>
      <c r="F227" s="3011">
        <v>61.96</v>
      </c>
      <c r="G227" s="3011">
        <v>6.91</v>
      </c>
      <c r="H227" s="3004" t="s">
        <v>1373</v>
      </c>
      <c r="I227" s="3007" t="s">
        <v>3563</v>
      </c>
      <c r="J227" s="3010">
        <f t="shared" si="20"/>
        <v>56156</v>
      </c>
      <c r="K227" s="3007" t="str">
        <f t="shared" si="21"/>
        <v>12层</v>
      </c>
      <c r="L227" s="3007" t="str">
        <f t="shared" si="22"/>
        <v>11层</v>
      </c>
      <c r="N227" s="3002">
        <f t="shared" ca="1" si="19"/>
        <v>648969</v>
      </c>
    </row>
    <row r="228" spans="1:14" ht="24">
      <c r="A228" s="3007">
        <v>225</v>
      </c>
      <c r="B228" s="3007" t="s">
        <v>3284</v>
      </c>
      <c r="C228" s="3004" t="s">
        <v>3564</v>
      </c>
      <c r="D228" s="3007" t="s">
        <v>3909</v>
      </c>
      <c r="E228" s="3008" t="s">
        <v>3910</v>
      </c>
      <c r="F228" s="3011">
        <v>66.66</v>
      </c>
      <c r="G228" s="3011">
        <v>7.44</v>
      </c>
      <c r="H228" s="3004" t="s">
        <v>1373</v>
      </c>
      <c r="I228" s="3007" t="s">
        <v>3563</v>
      </c>
      <c r="J228" s="3010">
        <f t="shared" si="20"/>
        <v>56156</v>
      </c>
      <c r="K228" s="3007" t="str">
        <f t="shared" si="21"/>
        <v>12层</v>
      </c>
      <c r="L228" s="3007" t="str">
        <f t="shared" si="22"/>
        <v>11层</v>
      </c>
      <c r="N228" s="3002">
        <f t="shared" ca="1" si="19"/>
        <v>698197</v>
      </c>
    </row>
    <row r="229" spans="1:14" ht="25.5" customHeight="1">
      <c r="A229" s="3383" t="s">
        <v>3911</v>
      </c>
      <c r="B229" s="3383"/>
      <c r="C229" s="3383"/>
      <c r="D229" s="3383"/>
      <c r="E229" s="3383"/>
      <c r="F229" s="3012">
        <f>SUM(F4:F228)</f>
        <v>13106.659999999993</v>
      </c>
      <c r="G229" s="3012">
        <f>SUM(G4:G228)</f>
        <v>1462.7400000000021</v>
      </c>
      <c r="H229" s="3007"/>
      <c r="I229" s="3007"/>
      <c r="J229" s="3012"/>
      <c r="K229" s="3007"/>
      <c r="L229" s="3007"/>
      <c r="N229" s="3002">
        <f ca="1">SUM(N4:N228)</f>
        <v>137279155</v>
      </c>
    </row>
    <row r="232" spans="1:14">
      <c r="G232" s="3014"/>
    </row>
    <row r="233" spans="1:14">
      <c r="G233" s="3014"/>
    </row>
    <row r="234" spans="1:14">
      <c r="F234" s="3014"/>
    </row>
  </sheetData>
  <mergeCells count="3">
    <mergeCell ref="A1:L1"/>
    <mergeCell ref="A2:L2"/>
    <mergeCell ref="A229:E229"/>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2"/>
  <sheetViews>
    <sheetView topLeftCell="A118" workbookViewId="0">
      <selection activeCell="N127" sqref="N127"/>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4" ht="18.75" customHeight="1">
      <c r="A1" s="3381" t="s">
        <v>4200</v>
      </c>
      <c r="B1" s="3381"/>
      <c r="C1" s="3381"/>
      <c r="D1" s="3381"/>
      <c r="E1" s="3381"/>
      <c r="F1" s="3381"/>
      <c r="G1" s="3381"/>
      <c r="H1" s="3381"/>
      <c r="I1" s="3381"/>
      <c r="J1" s="3381"/>
      <c r="K1" s="3381"/>
      <c r="L1" s="3381"/>
    </row>
    <row r="2" spans="1:14" ht="13.5" customHeight="1">
      <c r="A2" s="3382" t="s">
        <v>3418</v>
      </c>
      <c r="B2" s="3382"/>
      <c r="C2" s="3382"/>
      <c r="D2" s="3382"/>
      <c r="E2" s="3382"/>
      <c r="F2" s="3382"/>
      <c r="G2" s="3382"/>
      <c r="H2" s="3382"/>
      <c r="I2" s="3382"/>
      <c r="J2" s="3382"/>
      <c r="K2" s="3382"/>
      <c r="L2" s="3382"/>
    </row>
    <row r="3" spans="1:14"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4492</v>
      </c>
      <c r="N3" s="3002" t="s">
        <v>4491</v>
      </c>
    </row>
    <row r="4" spans="1:14" ht="24">
      <c r="A4" s="3003">
        <v>1</v>
      </c>
      <c r="B4" s="3024" t="s">
        <v>3059</v>
      </c>
      <c r="C4" s="3004" t="s">
        <v>3431</v>
      </c>
      <c r="D4" s="3025" t="s">
        <v>4201</v>
      </c>
      <c r="E4" s="3008" t="s">
        <v>4202</v>
      </c>
      <c r="F4" s="3026">
        <v>70.040000000000006</v>
      </c>
      <c r="G4" s="3026">
        <v>8.9700000000000006</v>
      </c>
      <c r="H4" s="3004" t="s">
        <v>1373</v>
      </c>
      <c r="I4" s="3007" t="s">
        <v>3443</v>
      </c>
      <c r="J4" s="3010">
        <v>56156</v>
      </c>
      <c r="K4" s="3007" t="s">
        <v>4203</v>
      </c>
      <c r="L4" s="3007" t="s">
        <v>4204</v>
      </c>
      <c r="M4" s="3002">
        <f ca="1">[2]结果表!$G$20</f>
        <v>10954</v>
      </c>
      <c r="N4" s="3002">
        <f ca="1">ROUND(F4*$M$4,0)</f>
        <v>767218</v>
      </c>
    </row>
    <row r="5" spans="1:14" ht="24">
      <c r="A5" s="3003">
        <v>2</v>
      </c>
      <c r="B5" s="3024" t="s">
        <v>3060</v>
      </c>
      <c r="C5" s="3004" t="s">
        <v>3431</v>
      </c>
      <c r="D5" s="3025" t="s">
        <v>4205</v>
      </c>
      <c r="E5" s="3008" t="s">
        <v>4206</v>
      </c>
      <c r="F5" s="3026">
        <v>54.12</v>
      </c>
      <c r="G5" s="3026">
        <v>6.93</v>
      </c>
      <c r="H5" s="3004" t="s">
        <v>1373</v>
      </c>
      <c r="I5" s="3007" t="s">
        <v>3443</v>
      </c>
      <c r="J5" s="3010">
        <f>$J$4</f>
        <v>56156</v>
      </c>
      <c r="K5" s="3007" t="str">
        <f>$K$4</f>
        <v xml:space="preserve">10层 </v>
      </c>
      <c r="L5" s="3007" t="str">
        <f>L4</f>
        <v>1层</v>
      </c>
      <c r="N5" s="3002">
        <f t="shared" ref="N5:N68" ca="1" si="0">ROUND(F5*$M$4,0)</f>
        <v>592830</v>
      </c>
    </row>
    <row r="6" spans="1:14" ht="24">
      <c r="A6" s="3003">
        <v>3</v>
      </c>
      <c r="B6" s="3024" t="s">
        <v>3061</v>
      </c>
      <c r="C6" s="3004" t="s">
        <v>3431</v>
      </c>
      <c r="D6" s="3025" t="s">
        <v>4207</v>
      </c>
      <c r="E6" s="3008" t="s">
        <v>4208</v>
      </c>
      <c r="F6" s="3026">
        <v>54</v>
      </c>
      <c r="G6" s="3026">
        <v>6.92</v>
      </c>
      <c r="H6" s="3004" t="s">
        <v>1373</v>
      </c>
      <c r="I6" s="3007" t="s">
        <v>3443</v>
      </c>
      <c r="J6" s="3010">
        <f t="shared" ref="J6:J69" si="1">$J$4</f>
        <v>56156</v>
      </c>
      <c r="K6" s="3007" t="str">
        <f t="shared" ref="K6:K69" si="2">$K$4</f>
        <v xml:space="preserve">10层 </v>
      </c>
      <c r="L6" s="3007" t="str">
        <f>L5</f>
        <v>1层</v>
      </c>
      <c r="N6" s="3002">
        <f t="shared" ca="1" si="0"/>
        <v>591516</v>
      </c>
    </row>
    <row r="7" spans="1:14" ht="24">
      <c r="A7" s="3003">
        <v>4</v>
      </c>
      <c r="B7" s="3024" t="s">
        <v>3062</v>
      </c>
      <c r="C7" s="3004" t="s">
        <v>4209</v>
      </c>
      <c r="D7" s="3025" t="s">
        <v>4210</v>
      </c>
      <c r="E7" s="3008" t="s">
        <v>4211</v>
      </c>
      <c r="F7" s="3027">
        <v>54.37</v>
      </c>
      <c r="G7" s="3027">
        <v>6.96</v>
      </c>
      <c r="H7" s="3004" t="s">
        <v>1373</v>
      </c>
      <c r="I7" s="3007" t="s">
        <v>4212</v>
      </c>
      <c r="J7" s="3010">
        <f t="shared" si="1"/>
        <v>56156</v>
      </c>
      <c r="K7" s="3007" t="str">
        <f t="shared" si="2"/>
        <v xml:space="preserve">10层 </v>
      </c>
      <c r="L7" s="3007" t="str">
        <f t="shared" ref="L7:L15" si="3">L6</f>
        <v>1层</v>
      </c>
      <c r="N7" s="3002">
        <f t="shared" ca="1" si="0"/>
        <v>595569</v>
      </c>
    </row>
    <row r="8" spans="1:14" ht="24">
      <c r="A8" s="3003">
        <v>5</v>
      </c>
      <c r="B8" s="3003" t="s">
        <v>3063</v>
      </c>
      <c r="C8" s="3004" t="s">
        <v>3431</v>
      </c>
      <c r="D8" s="3025" t="s">
        <v>4213</v>
      </c>
      <c r="E8" s="3008" t="s">
        <v>4214</v>
      </c>
      <c r="F8" s="3028">
        <v>67.239999999999995</v>
      </c>
      <c r="G8" s="3028">
        <v>8.61</v>
      </c>
      <c r="H8" s="3004" t="s">
        <v>1373</v>
      </c>
      <c r="I8" s="3007" t="s">
        <v>3443</v>
      </c>
      <c r="J8" s="3010">
        <f t="shared" si="1"/>
        <v>56156</v>
      </c>
      <c r="K8" s="3007" t="str">
        <f t="shared" si="2"/>
        <v xml:space="preserve">10层 </v>
      </c>
      <c r="L8" s="3007" t="str">
        <f t="shared" si="3"/>
        <v>1层</v>
      </c>
      <c r="N8" s="3002">
        <f t="shared" ca="1" si="0"/>
        <v>736547</v>
      </c>
    </row>
    <row r="9" spans="1:14" ht="24">
      <c r="A9" s="3003">
        <v>6</v>
      </c>
      <c r="B9" s="3003" t="s">
        <v>3064</v>
      </c>
      <c r="C9" s="3004" t="s">
        <v>3431</v>
      </c>
      <c r="D9" s="3025" t="s">
        <v>4215</v>
      </c>
      <c r="E9" s="3008" t="s">
        <v>4216</v>
      </c>
      <c r="F9" s="3028">
        <v>57.33</v>
      </c>
      <c r="G9" s="3028">
        <v>7.34</v>
      </c>
      <c r="H9" s="3004" t="s">
        <v>1373</v>
      </c>
      <c r="I9" s="3007" t="s">
        <v>3443</v>
      </c>
      <c r="J9" s="3010">
        <f t="shared" si="1"/>
        <v>56156</v>
      </c>
      <c r="K9" s="3007" t="str">
        <f t="shared" si="2"/>
        <v xml:space="preserve">10层 </v>
      </c>
      <c r="L9" s="3007" t="str">
        <f t="shared" si="3"/>
        <v>1层</v>
      </c>
      <c r="N9" s="3002">
        <f t="shared" ca="1" si="0"/>
        <v>627993</v>
      </c>
    </row>
    <row r="10" spans="1:14" ht="24">
      <c r="A10" s="3003">
        <v>7</v>
      </c>
      <c r="B10" s="3003" t="s">
        <v>3065</v>
      </c>
      <c r="C10" s="3004" t="s">
        <v>3431</v>
      </c>
      <c r="D10" s="3025" t="s">
        <v>4217</v>
      </c>
      <c r="E10" s="3008" t="s">
        <v>4218</v>
      </c>
      <c r="F10" s="3028">
        <v>96.95</v>
      </c>
      <c r="G10" s="3028">
        <v>12.42</v>
      </c>
      <c r="H10" s="3004" t="s">
        <v>1373</v>
      </c>
      <c r="I10" s="3007" t="s">
        <v>3443</v>
      </c>
      <c r="J10" s="3010">
        <f t="shared" si="1"/>
        <v>56156</v>
      </c>
      <c r="K10" s="3007" t="str">
        <f t="shared" si="2"/>
        <v xml:space="preserve">10层 </v>
      </c>
      <c r="L10" s="3007" t="str">
        <f t="shared" si="3"/>
        <v>1层</v>
      </c>
      <c r="N10" s="3002">
        <f t="shared" ca="1" si="0"/>
        <v>1061990</v>
      </c>
    </row>
    <row r="11" spans="1:14" ht="24">
      <c r="A11" s="3003">
        <v>8</v>
      </c>
      <c r="B11" s="3003" t="s">
        <v>3066</v>
      </c>
      <c r="C11" s="3004" t="s">
        <v>3431</v>
      </c>
      <c r="D11" s="3025" t="s">
        <v>4219</v>
      </c>
      <c r="E11" s="3008" t="s">
        <v>4220</v>
      </c>
      <c r="F11" s="3028">
        <v>96.95</v>
      </c>
      <c r="G11" s="3028">
        <v>12.42</v>
      </c>
      <c r="H11" s="3004" t="s">
        <v>1373</v>
      </c>
      <c r="I11" s="3007" t="s">
        <v>3443</v>
      </c>
      <c r="J11" s="3010">
        <f t="shared" si="1"/>
        <v>56156</v>
      </c>
      <c r="K11" s="3007" t="str">
        <f t="shared" si="2"/>
        <v xml:space="preserve">10层 </v>
      </c>
      <c r="L11" s="3007" t="str">
        <f t="shared" si="3"/>
        <v>1层</v>
      </c>
      <c r="N11" s="3002">
        <f t="shared" ca="1" si="0"/>
        <v>1061990</v>
      </c>
    </row>
    <row r="12" spans="1:14" ht="24">
      <c r="A12" s="3003">
        <v>9</v>
      </c>
      <c r="B12" s="3003" t="s">
        <v>3067</v>
      </c>
      <c r="C12" s="3004" t="s">
        <v>3431</v>
      </c>
      <c r="D12" s="3025" t="s">
        <v>4221</v>
      </c>
      <c r="E12" s="3008" t="s">
        <v>4222</v>
      </c>
      <c r="F12" s="3028">
        <v>57.33</v>
      </c>
      <c r="G12" s="3028">
        <v>7.34</v>
      </c>
      <c r="H12" s="3004" t="s">
        <v>1373</v>
      </c>
      <c r="I12" s="3007" t="s">
        <v>3443</v>
      </c>
      <c r="J12" s="3010">
        <f t="shared" si="1"/>
        <v>56156</v>
      </c>
      <c r="K12" s="3007" t="str">
        <f t="shared" si="2"/>
        <v xml:space="preserve">10层 </v>
      </c>
      <c r="L12" s="3007" t="str">
        <f t="shared" si="3"/>
        <v>1层</v>
      </c>
      <c r="N12" s="3002">
        <f t="shared" ca="1" si="0"/>
        <v>627993</v>
      </c>
    </row>
    <row r="13" spans="1:14" ht="24">
      <c r="A13" s="3003">
        <v>10</v>
      </c>
      <c r="B13" s="3003" t="s">
        <v>3068</v>
      </c>
      <c r="C13" s="3004" t="s">
        <v>3431</v>
      </c>
      <c r="D13" s="3025" t="s">
        <v>4223</v>
      </c>
      <c r="E13" s="3008" t="s">
        <v>4224</v>
      </c>
      <c r="F13" s="3028">
        <v>67.290000000000006</v>
      </c>
      <c r="G13" s="3028">
        <v>8.6199999999999992</v>
      </c>
      <c r="H13" s="3004" t="s">
        <v>1373</v>
      </c>
      <c r="I13" s="3007" t="s">
        <v>3443</v>
      </c>
      <c r="J13" s="3010">
        <f t="shared" si="1"/>
        <v>56156</v>
      </c>
      <c r="K13" s="3007" t="str">
        <f t="shared" si="2"/>
        <v xml:space="preserve">10层 </v>
      </c>
      <c r="L13" s="3007" t="str">
        <f t="shared" si="3"/>
        <v>1层</v>
      </c>
      <c r="N13" s="3002">
        <f t="shared" ca="1" si="0"/>
        <v>737095</v>
      </c>
    </row>
    <row r="14" spans="1:14" ht="24">
      <c r="A14" s="3003">
        <v>11</v>
      </c>
      <c r="B14" s="3003" t="s">
        <v>3069</v>
      </c>
      <c r="C14" s="3004" t="s">
        <v>3431</v>
      </c>
      <c r="D14" s="3025" t="s">
        <v>4225</v>
      </c>
      <c r="E14" s="3008" t="s">
        <v>4226</v>
      </c>
      <c r="F14" s="3028">
        <v>54.12</v>
      </c>
      <c r="G14" s="3028">
        <v>6.93</v>
      </c>
      <c r="H14" s="3004" t="s">
        <v>1373</v>
      </c>
      <c r="I14" s="3007" t="s">
        <v>3443</v>
      </c>
      <c r="J14" s="3010">
        <f t="shared" si="1"/>
        <v>56156</v>
      </c>
      <c r="K14" s="3007" t="str">
        <f t="shared" si="2"/>
        <v xml:space="preserve">10层 </v>
      </c>
      <c r="L14" s="3007" t="str">
        <f t="shared" si="3"/>
        <v>1层</v>
      </c>
      <c r="N14" s="3002">
        <f t="shared" ca="1" si="0"/>
        <v>592830</v>
      </c>
    </row>
    <row r="15" spans="1:14" ht="24">
      <c r="A15" s="3003">
        <v>12</v>
      </c>
      <c r="B15" s="3003" t="s">
        <v>3070</v>
      </c>
      <c r="C15" s="3004" t="s">
        <v>4209</v>
      </c>
      <c r="D15" s="3025" t="s">
        <v>4227</v>
      </c>
      <c r="E15" s="3008" t="s">
        <v>4228</v>
      </c>
      <c r="F15" s="3028">
        <v>74.06</v>
      </c>
      <c r="G15" s="3028">
        <v>9.49</v>
      </c>
      <c r="H15" s="3004" t="s">
        <v>1373</v>
      </c>
      <c r="I15" s="3007" t="s">
        <v>4212</v>
      </c>
      <c r="J15" s="3010">
        <f t="shared" si="1"/>
        <v>56156</v>
      </c>
      <c r="K15" s="3007" t="str">
        <f t="shared" si="2"/>
        <v xml:space="preserve">10层 </v>
      </c>
      <c r="L15" s="3007" t="str">
        <f t="shared" si="3"/>
        <v>1层</v>
      </c>
      <c r="N15" s="3002">
        <f t="shared" ca="1" si="0"/>
        <v>811253</v>
      </c>
    </row>
    <row r="16" spans="1:14" ht="24">
      <c r="A16" s="3003">
        <v>13</v>
      </c>
      <c r="B16" s="3003" t="s">
        <v>3077</v>
      </c>
      <c r="C16" s="3004" t="s">
        <v>3431</v>
      </c>
      <c r="D16" s="3025" t="s">
        <v>4229</v>
      </c>
      <c r="E16" s="3008" t="s">
        <v>4230</v>
      </c>
      <c r="F16" s="3028">
        <v>68.27</v>
      </c>
      <c r="G16" s="3028">
        <v>8.74</v>
      </c>
      <c r="H16" s="3004" t="s">
        <v>1373</v>
      </c>
      <c r="I16" s="3007" t="s">
        <v>3443</v>
      </c>
      <c r="J16" s="3010">
        <f t="shared" si="1"/>
        <v>56156</v>
      </c>
      <c r="K16" s="3007" t="str">
        <f t="shared" si="2"/>
        <v xml:space="preserve">10层 </v>
      </c>
      <c r="L16" s="3007" t="s">
        <v>3956</v>
      </c>
      <c r="N16" s="3002">
        <f t="shared" ca="1" si="0"/>
        <v>747830</v>
      </c>
    </row>
    <row r="17" spans="1:14" ht="24">
      <c r="A17" s="3003">
        <v>14</v>
      </c>
      <c r="B17" s="3003" t="s">
        <v>3078</v>
      </c>
      <c r="C17" s="3004" t="s">
        <v>3431</v>
      </c>
      <c r="D17" s="3025" t="s">
        <v>4231</v>
      </c>
      <c r="E17" s="3008" t="s">
        <v>4232</v>
      </c>
      <c r="F17" s="3028">
        <v>52.74</v>
      </c>
      <c r="G17" s="3028">
        <v>6.76</v>
      </c>
      <c r="H17" s="3004" t="s">
        <v>1373</v>
      </c>
      <c r="I17" s="3007" t="s">
        <v>3443</v>
      </c>
      <c r="J17" s="3010">
        <f t="shared" si="1"/>
        <v>56156</v>
      </c>
      <c r="K17" s="3007" t="str">
        <f t="shared" si="2"/>
        <v xml:space="preserve">10层 </v>
      </c>
      <c r="L17" s="3007" t="str">
        <f>L16</f>
        <v>2层</v>
      </c>
      <c r="N17" s="3002">
        <f t="shared" ca="1" si="0"/>
        <v>577714</v>
      </c>
    </row>
    <row r="18" spans="1:14" ht="24">
      <c r="A18" s="3003">
        <v>15</v>
      </c>
      <c r="B18" s="3003" t="s">
        <v>3079</v>
      </c>
      <c r="C18" s="3004" t="s">
        <v>3431</v>
      </c>
      <c r="D18" s="3025" t="s">
        <v>4233</v>
      </c>
      <c r="E18" s="3008" t="s">
        <v>4234</v>
      </c>
      <c r="F18" s="3028">
        <v>52.63</v>
      </c>
      <c r="G18" s="3028">
        <v>6.74</v>
      </c>
      <c r="H18" s="3004" t="s">
        <v>1373</v>
      </c>
      <c r="I18" s="3007" t="s">
        <v>3443</v>
      </c>
      <c r="J18" s="3010">
        <f t="shared" si="1"/>
        <v>56156</v>
      </c>
      <c r="K18" s="3007" t="str">
        <f t="shared" si="2"/>
        <v xml:space="preserve">10层 </v>
      </c>
      <c r="L18" s="3007" t="str">
        <f t="shared" ref="L18:L29" si="4">L17</f>
        <v>2层</v>
      </c>
      <c r="N18" s="3002">
        <f t="shared" ca="1" si="0"/>
        <v>576509</v>
      </c>
    </row>
    <row r="19" spans="1:14" ht="24">
      <c r="A19" s="3003">
        <v>16</v>
      </c>
      <c r="B19" s="3003" t="s">
        <v>3080</v>
      </c>
      <c r="C19" s="3004" t="s">
        <v>3431</v>
      </c>
      <c r="D19" s="3025" t="s">
        <v>4235</v>
      </c>
      <c r="E19" s="3008" t="s">
        <v>4236</v>
      </c>
      <c r="F19" s="3028">
        <v>53</v>
      </c>
      <c r="G19" s="3028">
        <v>6.79</v>
      </c>
      <c r="H19" s="3004" t="s">
        <v>1373</v>
      </c>
      <c r="I19" s="3007" t="s">
        <v>3443</v>
      </c>
      <c r="J19" s="3010">
        <f t="shared" si="1"/>
        <v>56156</v>
      </c>
      <c r="K19" s="3007" t="str">
        <f t="shared" si="2"/>
        <v xml:space="preserve">10层 </v>
      </c>
      <c r="L19" s="3007" t="str">
        <f t="shared" si="4"/>
        <v>2层</v>
      </c>
      <c r="N19" s="3002">
        <f t="shared" ca="1" si="0"/>
        <v>580562</v>
      </c>
    </row>
    <row r="20" spans="1:14" ht="24">
      <c r="A20" s="3003">
        <v>17</v>
      </c>
      <c r="B20" s="3003" t="s">
        <v>3081</v>
      </c>
      <c r="C20" s="3004" t="s">
        <v>3431</v>
      </c>
      <c r="D20" s="3025" t="s">
        <v>4237</v>
      </c>
      <c r="E20" s="3008" t="s">
        <v>4238</v>
      </c>
      <c r="F20" s="3028">
        <v>65.540000000000006</v>
      </c>
      <c r="G20" s="3028">
        <v>8.39</v>
      </c>
      <c r="H20" s="3004" t="s">
        <v>1373</v>
      </c>
      <c r="I20" s="3007" t="s">
        <v>3443</v>
      </c>
      <c r="J20" s="3010">
        <f t="shared" si="1"/>
        <v>56156</v>
      </c>
      <c r="K20" s="3007" t="str">
        <f t="shared" si="2"/>
        <v xml:space="preserve">10层 </v>
      </c>
      <c r="L20" s="3007" t="str">
        <f t="shared" si="4"/>
        <v>2层</v>
      </c>
      <c r="N20" s="3002">
        <f t="shared" ca="1" si="0"/>
        <v>717925</v>
      </c>
    </row>
    <row r="21" spans="1:14" ht="24">
      <c r="A21" s="3003">
        <v>18</v>
      </c>
      <c r="B21" s="3003" t="s">
        <v>3082</v>
      </c>
      <c r="C21" s="3004" t="s">
        <v>3431</v>
      </c>
      <c r="D21" s="3025" t="s">
        <v>4239</v>
      </c>
      <c r="E21" s="3008" t="s">
        <v>4240</v>
      </c>
      <c r="F21" s="3028">
        <v>55.88</v>
      </c>
      <c r="G21" s="3028">
        <v>7.16</v>
      </c>
      <c r="H21" s="3004" t="s">
        <v>1373</v>
      </c>
      <c r="I21" s="3007" t="s">
        <v>3443</v>
      </c>
      <c r="J21" s="3010">
        <f t="shared" si="1"/>
        <v>56156</v>
      </c>
      <c r="K21" s="3007" t="str">
        <f t="shared" si="2"/>
        <v xml:space="preserve">10层 </v>
      </c>
      <c r="L21" s="3007" t="str">
        <f t="shared" si="4"/>
        <v>2层</v>
      </c>
      <c r="N21" s="3002">
        <f t="shared" ca="1" si="0"/>
        <v>612110</v>
      </c>
    </row>
    <row r="22" spans="1:14" ht="24">
      <c r="A22" s="3003">
        <v>19</v>
      </c>
      <c r="B22" s="3003" t="s">
        <v>3083</v>
      </c>
      <c r="C22" s="3004" t="s">
        <v>3431</v>
      </c>
      <c r="D22" s="3025" t="s">
        <v>4241</v>
      </c>
      <c r="E22" s="3008" t="s">
        <v>4242</v>
      </c>
      <c r="F22" s="3028">
        <v>94.49</v>
      </c>
      <c r="G22" s="3028">
        <v>12.1</v>
      </c>
      <c r="H22" s="3004" t="s">
        <v>1373</v>
      </c>
      <c r="I22" s="3007" t="s">
        <v>3443</v>
      </c>
      <c r="J22" s="3010">
        <f t="shared" si="1"/>
        <v>56156</v>
      </c>
      <c r="K22" s="3007" t="str">
        <f t="shared" si="2"/>
        <v xml:space="preserve">10层 </v>
      </c>
      <c r="L22" s="3007" t="str">
        <f t="shared" si="4"/>
        <v>2层</v>
      </c>
      <c r="N22" s="3002">
        <f t="shared" ca="1" si="0"/>
        <v>1035043</v>
      </c>
    </row>
    <row r="23" spans="1:14" ht="24">
      <c r="A23" s="3003">
        <v>20</v>
      </c>
      <c r="B23" s="3003" t="s">
        <v>3084</v>
      </c>
      <c r="C23" s="3004" t="s">
        <v>3431</v>
      </c>
      <c r="D23" s="3025" t="s">
        <v>4243</v>
      </c>
      <c r="E23" s="3008" t="s">
        <v>4244</v>
      </c>
      <c r="F23" s="3028">
        <v>94.49</v>
      </c>
      <c r="G23" s="3028">
        <v>12.1</v>
      </c>
      <c r="H23" s="3004" t="s">
        <v>1373</v>
      </c>
      <c r="I23" s="3007" t="s">
        <v>3443</v>
      </c>
      <c r="J23" s="3010">
        <f t="shared" si="1"/>
        <v>56156</v>
      </c>
      <c r="K23" s="3007" t="str">
        <f t="shared" si="2"/>
        <v xml:space="preserve">10层 </v>
      </c>
      <c r="L23" s="3007" t="str">
        <f t="shared" si="4"/>
        <v>2层</v>
      </c>
      <c r="N23" s="3002">
        <f t="shared" ca="1" si="0"/>
        <v>1035043</v>
      </c>
    </row>
    <row r="24" spans="1:14" ht="24">
      <c r="A24" s="3003">
        <v>21</v>
      </c>
      <c r="B24" s="3003" t="s">
        <v>3085</v>
      </c>
      <c r="C24" s="3004" t="s">
        <v>3431</v>
      </c>
      <c r="D24" s="3025" t="s">
        <v>4245</v>
      </c>
      <c r="E24" s="3008" t="s">
        <v>4246</v>
      </c>
      <c r="F24" s="3028">
        <v>55.88</v>
      </c>
      <c r="G24" s="3028">
        <v>7.16</v>
      </c>
      <c r="H24" s="3004" t="s">
        <v>1373</v>
      </c>
      <c r="I24" s="3007" t="s">
        <v>3443</v>
      </c>
      <c r="J24" s="3010">
        <f t="shared" si="1"/>
        <v>56156</v>
      </c>
      <c r="K24" s="3007" t="str">
        <f t="shared" si="2"/>
        <v xml:space="preserve">10层 </v>
      </c>
      <c r="L24" s="3007" t="str">
        <f t="shared" si="4"/>
        <v>2层</v>
      </c>
      <c r="N24" s="3002">
        <f t="shared" ca="1" si="0"/>
        <v>612110</v>
      </c>
    </row>
    <row r="25" spans="1:14" ht="24">
      <c r="A25" s="3003">
        <v>22</v>
      </c>
      <c r="B25" s="3003" t="s">
        <v>3086</v>
      </c>
      <c r="C25" s="3004" t="s">
        <v>4209</v>
      </c>
      <c r="D25" s="3025" t="s">
        <v>4247</v>
      </c>
      <c r="E25" s="3008" t="s">
        <v>4248</v>
      </c>
      <c r="F25" s="3028">
        <v>65.540000000000006</v>
      </c>
      <c r="G25" s="3028">
        <v>8.39</v>
      </c>
      <c r="H25" s="3004" t="s">
        <v>1373</v>
      </c>
      <c r="I25" s="3007" t="s">
        <v>4212</v>
      </c>
      <c r="J25" s="3010">
        <f t="shared" si="1"/>
        <v>56156</v>
      </c>
      <c r="K25" s="3007" t="str">
        <f t="shared" si="2"/>
        <v xml:space="preserve">10层 </v>
      </c>
      <c r="L25" s="3007" t="str">
        <f t="shared" si="4"/>
        <v>2层</v>
      </c>
      <c r="N25" s="3002">
        <f t="shared" ca="1" si="0"/>
        <v>717925</v>
      </c>
    </row>
    <row r="26" spans="1:14" ht="24">
      <c r="A26" s="3003">
        <v>23</v>
      </c>
      <c r="B26" s="3003" t="s">
        <v>3087</v>
      </c>
      <c r="C26" s="3004" t="s">
        <v>3431</v>
      </c>
      <c r="D26" s="3025" t="s">
        <v>4249</v>
      </c>
      <c r="E26" s="3008" t="s">
        <v>4250</v>
      </c>
      <c r="F26" s="3028">
        <v>53</v>
      </c>
      <c r="G26" s="3028">
        <v>6.79</v>
      </c>
      <c r="H26" s="3004" t="s">
        <v>1373</v>
      </c>
      <c r="I26" s="3007" t="s">
        <v>3443</v>
      </c>
      <c r="J26" s="3010">
        <f t="shared" si="1"/>
        <v>56156</v>
      </c>
      <c r="K26" s="3007" t="str">
        <f t="shared" si="2"/>
        <v xml:space="preserve">10层 </v>
      </c>
      <c r="L26" s="3007" t="str">
        <f t="shared" si="4"/>
        <v>2层</v>
      </c>
      <c r="N26" s="3002">
        <f t="shared" ca="1" si="0"/>
        <v>580562</v>
      </c>
    </row>
    <row r="27" spans="1:14" ht="24">
      <c r="A27" s="3003">
        <v>24</v>
      </c>
      <c r="B27" s="3003" t="s">
        <v>3088</v>
      </c>
      <c r="C27" s="3004" t="s">
        <v>3431</v>
      </c>
      <c r="D27" s="3025" t="s">
        <v>4251</v>
      </c>
      <c r="E27" s="3008" t="s">
        <v>4252</v>
      </c>
      <c r="F27" s="3028">
        <v>52.63</v>
      </c>
      <c r="G27" s="3028">
        <v>6.74</v>
      </c>
      <c r="H27" s="3004" t="s">
        <v>1373</v>
      </c>
      <c r="I27" s="3007" t="s">
        <v>3443</v>
      </c>
      <c r="J27" s="3010">
        <f t="shared" si="1"/>
        <v>56156</v>
      </c>
      <c r="K27" s="3007" t="str">
        <f t="shared" si="2"/>
        <v xml:space="preserve">10层 </v>
      </c>
      <c r="L27" s="3007" t="str">
        <f t="shared" si="4"/>
        <v>2层</v>
      </c>
      <c r="N27" s="3002">
        <f t="shared" ca="1" si="0"/>
        <v>576509</v>
      </c>
    </row>
    <row r="28" spans="1:14" ht="24">
      <c r="A28" s="3003">
        <v>25</v>
      </c>
      <c r="B28" s="3003" t="s">
        <v>3089</v>
      </c>
      <c r="C28" s="3004" t="s">
        <v>3431</v>
      </c>
      <c r="D28" s="3025" t="s">
        <v>4253</v>
      </c>
      <c r="E28" s="3008" t="s">
        <v>4254</v>
      </c>
      <c r="F28" s="3028">
        <v>52.74</v>
      </c>
      <c r="G28" s="3028">
        <v>6.76</v>
      </c>
      <c r="H28" s="3004" t="s">
        <v>1373</v>
      </c>
      <c r="I28" s="3007" t="s">
        <v>3443</v>
      </c>
      <c r="J28" s="3010">
        <f t="shared" si="1"/>
        <v>56156</v>
      </c>
      <c r="K28" s="3007" t="str">
        <f t="shared" si="2"/>
        <v xml:space="preserve">10层 </v>
      </c>
      <c r="L28" s="3007" t="str">
        <f t="shared" si="4"/>
        <v>2层</v>
      </c>
      <c r="N28" s="3002">
        <f t="shared" ca="1" si="0"/>
        <v>577714</v>
      </c>
    </row>
    <row r="29" spans="1:14" ht="24">
      <c r="A29" s="3003">
        <v>26</v>
      </c>
      <c r="B29" s="3003" t="s">
        <v>3090</v>
      </c>
      <c r="C29" s="3004" t="s">
        <v>3934</v>
      </c>
      <c r="D29" s="3025" t="s">
        <v>4255</v>
      </c>
      <c r="E29" s="3008" t="s">
        <v>4256</v>
      </c>
      <c r="F29" s="3028">
        <v>72.180000000000007</v>
      </c>
      <c r="G29" s="3028">
        <v>9.25</v>
      </c>
      <c r="H29" s="3004" t="s">
        <v>1373</v>
      </c>
      <c r="I29" s="3007" t="s">
        <v>4257</v>
      </c>
      <c r="J29" s="3010">
        <f t="shared" si="1"/>
        <v>56156</v>
      </c>
      <c r="K29" s="3007" t="str">
        <f t="shared" si="2"/>
        <v xml:space="preserve">10层 </v>
      </c>
      <c r="L29" s="3007" t="str">
        <f t="shared" si="4"/>
        <v>2层</v>
      </c>
      <c r="N29" s="3002">
        <f t="shared" ca="1" si="0"/>
        <v>790660</v>
      </c>
    </row>
    <row r="30" spans="1:14" ht="24">
      <c r="A30" s="3003">
        <v>27</v>
      </c>
      <c r="B30" s="3003" t="s">
        <v>3099</v>
      </c>
      <c r="C30" s="3004" t="s">
        <v>3431</v>
      </c>
      <c r="D30" s="3025" t="s">
        <v>4258</v>
      </c>
      <c r="E30" s="3008" t="s">
        <v>4259</v>
      </c>
      <c r="F30" s="3028">
        <v>68.27</v>
      </c>
      <c r="G30" s="3028">
        <v>8.74</v>
      </c>
      <c r="H30" s="3004" t="s">
        <v>1373</v>
      </c>
      <c r="I30" s="3007" t="s">
        <v>3443</v>
      </c>
      <c r="J30" s="3010">
        <f t="shared" si="1"/>
        <v>56156</v>
      </c>
      <c r="K30" s="3007" t="str">
        <f t="shared" si="2"/>
        <v xml:space="preserve">10层 </v>
      </c>
      <c r="L30" s="3007" t="s">
        <v>3522</v>
      </c>
      <c r="N30" s="3002">
        <f t="shared" ca="1" si="0"/>
        <v>747830</v>
      </c>
    </row>
    <row r="31" spans="1:14" ht="24">
      <c r="A31" s="3003">
        <v>28</v>
      </c>
      <c r="B31" s="3003" t="s">
        <v>3100</v>
      </c>
      <c r="C31" s="3004" t="s">
        <v>3431</v>
      </c>
      <c r="D31" s="3025" t="s">
        <v>4260</v>
      </c>
      <c r="E31" s="3008" t="s">
        <v>4261</v>
      </c>
      <c r="F31" s="3028">
        <v>52.74</v>
      </c>
      <c r="G31" s="3028">
        <v>6.76</v>
      </c>
      <c r="H31" s="3004" t="s">
        <v>1373</v>
      </c>
      <c r="I31" s="3007" t="s">
        <v>3443</v>
      </c>
      <c r="J31" s="3010">
        <f t="shared" si="1"/>
        <v>56156</v>
      </c>
      <c r="K31" s="3007" t="str">
        <f t="shared" si="2"/>
        <v xml:space="preserve">10层 </v>
      </c>
      <c r="L31" s="3007" t="str">
        <f>L30</f>
        <v>3层</v>
      </c>
      <c r="N31" s="3002">
        <f t="shared" ca="1" si="0"/>
        <v>577714</v>
      </c>
    </row>
    <row r="32" spans="1:14" ht="24">
      <c r="A32" s="3003">
        <v>29</v>
      </c>
      <c r="B32" s="3003" t="s">
        <v>3101</v>
      </c>
      <c r="C32" s="3004" t="s">
        <v>3431</v>
      </c>
      <c r="D32" s="3025" t="s">
        <v>4262</v>
      </c>
      <c r="E32" s="3008" t="s">
        <v>4263</v>
      </c>
      <c r="F32" s="3028">
        <v>52.63</v>
      </c>
      <c r="G32" s="3028">
        <v>6.74</v>
      </c>
      <c r="H32" s="3004" t="s">
        <v>1373</v>
      </c>
      <c r="I32" s="3007" t="s">
        <v>3443</v>
      </c>
      <c r="J32" s="3010">
        <f t="shared" si="1"/>
        <v>56156</v>
      </c>
      <c r="K32" s="3007" t="str">
        <f t="shared" si="2"/>
        <v xml:space="preserve">10层 </v>
      </c>
      <c r="L32" s="3007" t="str">
        <f t="shared" ref="L32:L43" si="5">L31</f>
        <v>3层</v>
      </c>
      <c r="N32" s="3002">
        <f t="shared" ca="1" si="0"/>
        <v>576509</v>
      </c>
    </row>
    <row r="33" spans="1:14" ht="24">
      <c r="A33" s="3003">
        <v>30</v>
      </c>
      <c r="B33" s="3003" t="s">
        <v>3102</v>
      </c>
      <c r="C33" s="3004" t="s">
        <v>4264</v>
      </c>
      <c r="D33" s="3025" t="s">
        <v>4265</v>
      </c>
      <c r="E33" s="3008" t="s">
        <v>4266</v>
      </c>
      <c r="F33" s="3028">
        <v>53</v>
      </c>
      <c r="G33" s="3028">
        <v>6.79</v>
      </c>
      <c r="H33" s="3004" t="s">
        <v>1373</v>
      </c>
      <c r="I33" s="3007" t="s">
        <v>4267</v>
      </c>
      <c r="J33" s="3010">
        <f t="shared" si="1"/>
        <v>56156</v>
      </c>
      <c r="K33" s="3007" t="str">
        <f t="shared" si="2"/>
        <v xml:space="preserve">10层 </v>
      </c>
      <c r="L33" s="3007" t="str">
        <f t="shared" si="5"/>
        <v>3层</v>
      </c>
      <c r="N33" s="3002">
        <f t="shared" ca="1" si="0"/>
        <v>580562</v>
      </c>
    </row>
    <row r="34" spans="1:14" ht="24">
      <c r="A34" s="3003">
        <v>31</v>
      </c>
      <c r="B34" s="3003" t="s">
        <v>3103</v>
      </c>
      <c r="C34" s="3004" t="s">
        <v>3527</v>
      </c>
      <c r="D34" s="3025" t="s">
        <v>4268</v>
      </c>
      <c r="E34" s="3008" t="s">
        <v>4269</v>
      </c>
      <c r="F34" s="3028">
        <v>65.540000000000006</v>
      </c>
      <c r="G34" s="3028">
        <v>8.39</v>
      </c>
      <c r="H34" s="3004" t="s">
        <v>1373</v>
      </c>
      <c r="I34" s="3007" t="s">
        <v>3530</v>
      </c>
      <c r="J34" s="3010">
        <f t="shared" si="1"/>
        <v>56156</v>
      </c>
      <c r="K34" s="3007" t="str">
        <f t="shared" si="2"/>
        <v xml:space="preserve">10层 </v>
      </c>
      <c r="L34" s="3007" t="str">
        <f t="shared" si="5"/>
        <v>3层</v>
      </c>
      <c r="N34" s="3002">
        <f t="shared" ca="1" si="0"/>
        <v>717925</v>
      </c>
    </row>
    <row r="35" spans="1:14" ht="24">
      <c r="A35" s="3003">
        <v>32</v>
      </c>
      <c r="B35" s="3003" t="s">
        <v>3104</v>
      </c>
      <c r="C35" s="3004" t="s">
        <v>4270</v>
      </c>
      <c r="D35" s="3025" t="s">
        <v>4271</v>
      </c>
      <c r="E35" s="3008" t="s">
        <v>4272</v>
      </c>
      <c r="F35" s="3028">
        <v>55.88</v>
      </c>
      <c r="G35" s="3028">
        <v>7.16</v>
      </c>
      <c r="H35" s="3004" t="s">
        <v>1373</v>
      </c>
      <c r="I35" s="3007" t="s">
        <v>4273</v>
      </c>
      <c r="J35" s="3010">
        <f t="shared" si="1"/>
        <v>56156</v>
      </c>
      <c r="K35" s="3007" t="str">
        <f t="shared" si="2"/>
        <v xml:space="preserve">10层 </v>
      </c>
      <c r="L35" s="3007" t="str">
        <f t="shared" si="5"/>
        <v>3层</v>
      </c>
      <c r="N35" s="3002">
        <f t="shared" ca="1" si="0"/>
        <v>612110</v>
      </c>
    </row>
    <row r="36" spans="1:14" ht="24">
      <c r="A36" s="3003">
        <v>33</v>
      </c>
      <c r="B36" s="3003" t="s">
        <v>3105</v>
      </c>
      <c r="C36" s="3004" t="s">
        <v>4274</v>
      </c>
      <c r="D36" s="3025" t="s">
        <v>4275</v>
      </c>
      <c r="E36" s="3008" t="s">
        <v>4276</v>
      </c>
      <c r="F36" s="3028">
        <v>94.49</v>
      </c>
      <c r="G36" s="3028">
        <v>12.1</v>
      </c>
      <c r="H36" s="3004" t="s">
        <v>1373</v>
      </c>
      <c r="I36" s="3007" t="s">
        <v>4277</v>
      </c>
      <c r="J36" s="3010">
        <f t="shared" si="1"/>
        <v>56156</v>
      </c>
      <c r="K36" s="3007" t="str">
        <f t="shared" si="2"/>
        <v xml:space="preserve">10层 </v>
      </c>
      <c r="L36" s="3007" t="str">
        <f t="shared" si="5"/>
        <v>3层</v>
      </c>
      <c r="N36" s="3002">
        <f t="shared" ca="1" si="0"/>
        <v>1035043</v>
      </c>
    </row>
    <row r="37" spans="1:14" ht="24">
      <c r="A37" s="3003">
        <v>34</v>
      </c>
      <c r="B37" s="3003" t="s">
        <v>3106</v>
      </c>
      <c r="C37" s="3004" t="s">
        <v>3527</v>
      </c>
      <c r="D37" s="3025" t="s">
        <v>4278</v>
      </c>
      <c r="E37" s="3008" t="s">
        <v>4279</v>
      </c>
      <c r="F37" s="3028">
        <v>94.49</v>
      </c>
      <c r="G37" s="3028">
        <v>12.1</v>
      </c>
      <c r="H37" s="3004" t="s">
        <v>1373</v>
      </c>
      <c r="I37" s="3007" t="s">
        <v>3530</v>
      </c>
      <c r="J37" s="3010">
        <f t="shared" si="1"/>
        <v>56156</v>
      </c>
      <c r="K37" s="3007" t="str">
        <f t="shared" si="2"/>
        <v xml:space="preserve">10层 </v>
      </c>
      <c r="L37" s="3007" t="str">
        <f t="shared" si="5"/>
        <v>3层</v>
      </c>
      <c r="N37" s="3002">
        <f t="shared" ca="1" si="0"/>
        <v>1035043</v>
      </c>
    </row>
    <row r="38" spans="1:14" ht="24">
      <c r="A38" s="3003">
        <v>35</v>
      </c>
      <c r="B38" s="3003" t="s">
        <v>3107</v>
      </c>
      <c r="C38" s="3004" t="s">
        <v>4280</v>
      </c>
      <c r="D38" s="3025" t="s">
        <v>4281</v>
      </c>
      <c r="E38" s="3008" t="s">
        <v>4282</v>
      </c>
      <c r="F38" s="3028">
        <v>55.88</v>
      </c>
      <c r="G38" s="3028">
        <v>7.16</v>
      </c>
      <c r="H38" s="3004" t="s">
        <v>1373</v>
      </c>
      <c r="I38" s="3007" t="s">
        <v>4283</v>
      </c>
      <c r="J38" s="3010">
        <f t="shared" si="1"/>
        <v>56156</v>
      </c>
      <c r="K38" s="3007" t="str">
        <f t="shared" si="2"/>
        <v xml:space="preserve">10层 </v>
      </c>
      <c r="L38" s="3007" t="str">
        <f t="shared" si="5"/>
        <v>3层</v>
      </c>
      <c r="N38" s="3002">
        <f t="shared" ca="1" si="0"/>
        <v>612110</v>
      </c>
    </row>
    <row r="39" spans="1:14" ht="24">
      <c r="A39" s="3003">
        <v>36</v>
      </c>
      <c r="B39" s="3003" t="s">
        <v>3108</v>
      </c>
      <c r="C39" s="3004" t="s">
        <v>4186</v>
      </c>
      <c r="D39" s="3025" t="s">
        <v>4284</v>
      </c>
      <c r="E39" s="3008" t="s">
        <v>4285</v>
      </c>
      <c r="F39" s="3028">
        <v>65.540000000000006</v>
      </c>
      <c r="G39" s="3028">
        <v>8.39</v>
      </c>
      <c r="H39" s="3004" t="s">
        <v>1373</v>
      </c>
      <c r="I39" s="3007" t="s">
        <v>4286</v>
      </c>
      <c r="J39" s="3010">
        <f t="shared" si="1"/>
        <v>56156</v>
      </c>
      <c r="K39" s="3007" t="str">
        <f t="shared" si="2"/>
        <v xml:space="preserve">10层 </v>
      </c>
      <c r="L39" s="3007" t="str">
        <f t="shared" si="5"/>
        <v>3层</v>
      </c>
      <c r="N39" s="3002">
        <f t="shared" ca="1" si="0"/>
        <v>717925</v>
      </c>
    </row>
    <row r="40" spans="1:14" ht="24">
      <c r="A40" s="3003">
        <v>37</v>
      </c>
      <c r="B40" s="3003" t="s">
        <v>3109</v>
      </c>
      <c r="C40" s="3004" t="s">
        <v>3527</v>
      </c>
      <c r="D40" s="3025" t="s">
        <v>4287</v>
      </c>
      <c r="E40" s="3008" t="s">
        <v>4288</v>
      </c>
      <c r="F40" s="3028">
        <v>53</v>
      </c>
      <c r="G40" s="3028">
        <v>6.79</v>
      </c>
      <c r="H40" s="3004" t="s">
        <v>1373</v>
      </c>
      <c r="I40" s="3007" t="s">
        <v>3530</v>
      </c>
      <c r="J40" s="3010">
        <f t="shared" si="1"/>
        <v>56156</v>
      </c>
      <c r="K40" s="3007" t="str">
        <f t="shared" si="2"/>
        <v xml:space="preserve">10层 </v>
      </c>
      <c r="L40" s="3007" t="str">
        <f t="shared" si="5"/>
        <v>3层</v>
      </c>
      <c r="N40" s="3002">
        <f t="shared" ca="1" si="0"/>
        <v>580562</v>
      </c>
    </row>
    <row r="41" spans="1:14" ht="24">
      <c r="A41" s="3003">
        <v>38</v>
      </c>
      <c r="B41" s="3003" t="s">
        <v>3110</v>
      </c>
      <c r="C41" s="3004" t="s">
        <v>3993</v>
      </c>
      <c r="D41" s="3025" t="s">
        <v>4289</v>
      </c>
      <c r="E41" s="3008" t="s">
        <v>4290</v>
      </c>
      <c r="F41" s="3028">
        <v>52.63</v>
      </c>
      <c r="G41" s="3028">
        <v>6.74</v>
      </c>
      <c r="H41" s="3004" t="s">
        <v>1373</v>
      </c>
      <c r="I41" s="3007" t="s">
        <v>4291</v>
      </c>
      <c r="J41" s="3010">
        <f t="shared" si="1"/>
        <v>56156</v>
      </c>
      <c r="K41" s="3007" t="str">
        <f t="shared" si="2"/>
        <v xml:space="preserve">10层 </v>
      </c>
      <c r="L41" s="3007" t="str">
        <f t="shared" si="5"/>
        <v>3层</v>
      </c>
      <c r="N41" s="3002">
        <f t="shared" ca="1" si="0"/>
        <v>576509</v>
      </c>
    </row>
    <row r="42" spans="1:14" ht="24">
      <c r="A42" s="3003">
        <v>39</v>
      </c>
      <c r="B42" s="3003" t="s">
        <v>3111</v>
      </c>
      <c r="C42" s="3004" t="s">
        <v>3527</v>
      </c>
      <c r="D42" s="3025" t="s">
        <v>4292</v>
      </c>
      <c r="E42" s="3008" t="s">
        <v>4293</v>
      </c>
      <c r="F42" s="3028">
        <v>52.74</v>
      </c>
      <c r="G42" s="3028">
        <v>6.76</v>
      </c>
      <c r="H42" s="3004" t="s">
        <v>1373</v>
      </c>
      <c r="I42" s="3007" t="s">
        <v>3530</v>
      </c>
      <c r="J42" s="3010">
        <f t="shared" si="1"/>
        <v>56156</v>
      </c>
      <c r="K42" s="3007" t="str">
        <f t="shared" si="2"/>
        <v xml:space="preserve">10层 </v>
      </c>
      <c r="L42" s="3007" t="str">
        <f t="shared" si="5"/>
        <v>3层</v>
      </c>
      <c r="N42" s="3002">
        <f t="shared" ca="1" si="0"/>
        <v>577714</v>
      </c>
    </row>
    <row r="43" spans="1:14" ht="24">
      <c r="A43" s="3003">
        <v>40</v>
      </c>
      <c r="B43" s="3003" t="s">
        <v>3112</v>
      </c>
      <c r="C43" s="3004" t="s">
        <v>3993</v>
      </c>
      <c r="D43" s="3025" t="s">
        <v>4294</v>
      </c>
      <c r="E43" s="3008" t="s">
        <v>4295</v>
      </c>
      <c r="F43" s="3028">
        <v>72.180000000000007</v>
      </c>
      <c r="G43" s="3028">
        <v>9.25</v>
      </c>
      <c r="H43" s="3004" t="s">
        <v>1373</v>
      </c>
      <c r="I43" s="3007" t="s">
        <v>4291</v>
      </c>
      <c r="J43" s="3010">
        <f t="shared" si="1"/>
        <v>56156</v>
      </c>
      <c r="K43" s="3007" t="str">
        <f t="shared" si="2"/>
        <v xml:space="preserve">10层 </v>
      </c>
      <c r="L43" s="3007" t="str">
        <f t="shared" si="5"/>
        <v>3层</v>
      </c>
      <c r="N43" s="3002">
        <f t="shared" ca="1" si="0"/>
        <v>790660</v>
      </c>
    </row>
    <row r="44" spans="1:14" ht="24">
      <c r="A44" s="3003">
        <v>41</v>
      </c>
      <c r="B44" s="3003" t="s">
        <v>3121</v>
      </c>
      <c r="C44" s="3004" t="s">
        <v>3621</v>
      </c>
      <c r="D44" s="3025" t="s">
        <v>4296</v>
      </c>
      <c r="E44" s="3008" t="s">
        <v>4297</v>
      </c>
      <c r="F44" s="3028">
        <v>68.27</v>
      </c>
      <c r="G44" s="3028">
        <v>8.74</v>
      </c>
      <c r="H44" s="3004" t="s">
        <v>1373</v>
      </c>
      <c r="I44" s="3007" t="s">
        <v>3665</v>
      </c>
      <c r="J44" s="3010">
        <f t="shared" si="1"/>
        <v>56156</v>
      </c>
      <c r="K44" s="3007" t="str">
        <f t="shared" si="2"/>
        <v xml:space="preserve">10层 </v>
      </c>
      <c r="L44" s="3007" t="s">
        <v>4298</v>
      </c>
      <c r="N44" s="3002">
        <f t="shared" ca="1" si="0"/>
        <v>747830</v>
      </c>
    </row>
    <row r="45" spans="1:14" ht="24">
      <c r="A45" s="3003">
        <v>42</v>
      </c>
      <c r="B45" s="3003" t="s">
        <v>3122</v>
      </c>
      <c r="C45" s="3004" t="s">
        <v>4186</v>
      </c>
      <c r="D45" s="3025" t="s">
        <v>4299</v>
      </c>
      <c r="E45" s="3008" t="s">
        <v>4300</v>
      </c>
      <c r="F45" s="3028">
        <v>52.74</v>
      </c>
      <c r="G45" s="3028">
        <v>6.76</v>
      </c>
      <c r="H45" s="3004" t="s">
        <v>1373</v>
      </c>
      <c r="I45" s="3007" t="s">
        <v>3665</v>
      </c>
      <c r="J45" s="3010">
        <f t="shared" si="1"/>
        <v>56156</v>
      </c>
      <c r="K45" s="3007" t="str">
        <f t="shared" si="2"/>
        <v xml:space="preserve">10层 </v>
      </c>
      <c r="L45" s="3007" t="str">
        <f>L44</f>
        <v>4层</v>
      </c>
      <c r="N45" s="3002">
        <f t="shared" ca="1" si="0"/>
        <v>577714</v>
      </c>
    </row>
    <row r="46" spans="1:14" ht="24">
      <c r="A46" s="3003">
        <v>43</v>
      </c>
      <c r="B46" s="3003" t="s">
        <v>3123</v>
      </c>
      <c r="C46" s="3004" t="s">
        <v>3527</v>
      </c>
      <c r="D46" s="3025" t="s">
        <v>4301</v>
      </c>
      <c r="E46" s="3008" t="s">
        <v>4302</v>
      </c>
      <c r="F46" s="3028">
        <v>52.63</v>
      </c>
      <c r="G46" s="3028">
        <v>6.74</v>
      </c>
      <c r="H46" s="3004" t="s">
        <v>1373</v>
      </c>
      <c r="I46" s="3007" t="s">
        <v>3530</v>
      </c>
      <c r="J46" s="3010">
        <f t="shared" si="1"/>
        <v>56156</v>
      </c>
      <c r="K46" s="3007" t="str">
        <f t="shared" si="2"/>
        <v xml:space="preserve">10层 </v>
      </c>
      <c r="L46" s="3007" t="str">
        <f t="shared" ref="L46:L57" si="6">L45</f>
        <v>4层</v>
      </c>
      <c r="N46" s="3002">
        <f t="shared" ca="1" si="0"/>
        <v>576509</v>
      </c>
    </row>
    <row r="47" spans="1:14" ht="24">
      <c r="A47" s="3003">
        <v>44</v>
      </c>
      <c r="B47" s="3003" t="s">
        <v>3124</v>
      </c>
      <c r="C47" s="3004" t="s">
        <v>3527</v>
      </c>
      <c r="D47" s="3025" t="s">
        <v>4303</v>
      </c>
      <c r="E47" s="3008" t="s">
        <v>4304</v>
      </c>
      <c r="F47" s="3028">
        <v>53</v>
      </c>
      <c r="G47" s="3028">
        <v>6.79</v>
      </c>
      <c r="H47" s="3004" t="s">
        <v>1373</v>
      </c>
      <c r="I47" s="3007" t="s">
        <v>3530</v>
      </c>
      <c r="J47" s="3010">
        <f t="shared" si="1"/>
        <v>56156</v>
      </c>
      <c r="K47" s="3007" t="str">
        <f t="shared" si="2"/>
        <v xml:space="preserve">10层 </v>
      </c>
      <c r="L47" s="3007" t="str">
        <f t="shared" si="6"/>
        <v>4层</v>
      </c>
      <c r="N47" s="3002">
        <f t="shared" ca="1" si="0"/>
        <v>580562</v>
      </c>
    </row>
    <row r="48" spans="1:14" ht="24">
      <c r="A48" s="3003">
        <v>45</v>
      </c>
      <c r="B48" s="3003" t="s">
        <v>3125</v>
      </c>
      <c r="C48" s="3004" t="s">
        <v>4280</v>
      </c>
      <c r="D48" s="3025" t="s">
        <v>4305</v>
      </c>
      <c r="E48" s="3008" t="s">
        <v>4306</v>
      </c>
      <c r="F48" s="3028">
        <v>65.540000000000006</v>
      </c>
      <c r="G48" s="3028">
        <v>8.39</v>
      </c>
      <c r="H48" s="3004" t="s">
        <v>1373</v>
      </c>
      <c r="I48" s="3007" t="s">
        <v>4283</v>
      </c>
      <c r="J48" s="3010">
        <f t="shared" si="1"/>
        <v>56156</v>
      </c>
      <c r="K48" s="3007" t="str">
        <f t="shared" si="2"/>
        <v xml:space="preserve">10层 </v>
      </c>
      <c r="L48" s="3007" t="str">
        <f t="shared" si="6"/>
        <v>4层</v>
      </c>
      <c r="N48" s="3002">
        <f t="shared" ca="1" si="0"/>
        <v>717925</v>
      </c>
    </row>
    <row r="49" spans="1:14" ht="24">
      <c r="A49" s="3003">
        <v>46</v>
      </c>
      <c r="B49" s="3003" t="s">
        <v>3126</v>
      </c>
      <c r="C49" s="3004" t="s">
        <v>3993</v>
      </c>
      <c r="D49" s="3025" t="s">
        <v>4307</v>
      </c>
      <c r="E49" s="3008" t="s">
        <v>4308</v>
      </c>
      <c r="F49" s="3028">
        <v>55.88</v>
      </c>
      <c r="G49" s="3028">
        <v>7.16</v>
      </c>
      <c r="H49" s="3004" t="s">
        <v>1373</v>
      </c>
      <c r="I49" s="3007" t="s">
        <v>4291</v>
      </c>
      <c r="J49" s="3010">
        <f t="shared" si="1"/>
        <v>56156</v>
      </c>
      <c r="K49" s="3007" t="str">
        <f t="shared" si="2"/>
        <v xml:space="preserve">10层 </v>
      </c>
      <c r="L49" s="3007" t="str">
        <f t="shared" si="6"/>
        <v>4层</v>
      </c>
      <c r="N49" s="3002">
        <f t="shared" ca="1" si="0"/>
        <v>612110</v>
      </c>
    </row>
    <row r="50" spans="1:14" ht="24">
      <c r="A50" s="3003">
        <v>47</v>
      </c>
      <c r="B50" s="3003" t="s">
        <v>3127</v>
      </c>
      <c r="C50" s="3004" t="s">
        <v>3527</v>
      </c>
      <c r="D50" s="3025" t="s">
        <v>4309</v>
      </c>
      <c r="E50" s="3008" t="s">
        <v>4310</v>
      </c>
      <c r="F50" s="3028">
        <v>94.49</v>
      </c>
      <c r="G50" s="3028">
        <v>12.1</v>
      </c>
      <c r="H50" s="3004" t="s">
        <v>1373</v>
      </c>
      <c r="I50" s="3007" t="s">
        <v>3530</v>
      </c>
      <c r="J50" s="3010">
        <f t="shared" si="1"/>
        <v>56156</v>
      </c>
      <c r="K50" s="3007" t="str">
        <f t="shared" si="2"/>
        <v xml:space="preserve">10层 </v>
      </c>
      <c r="L50" s="3007" t="str">
        <f t="shared" si="6"/>
        <v>4层</v>
      </c>
      <c r="N50" s="3002">
        <f t="shared" ca="1" si="0"/>
        <v>1035043</v>
      </c>
    </row>
    <row r="51" spans="1:14" ht="24">
      <c r="A51" s="3003">
        <v>48</v>
      </c>
      <c r="B51" s="3003" t="s">
        <v>3128</v>
      </c>
      <c r="C51" s="3004" t="s">
        <v>3840</v>
      </c>
      <c r="D51" s="3025" t="s">
        <v>4311</v>
      </c>
      <c r="E51" s="3008" t="s">
        <v>4312</v>
      </c>
      <c r="F51" s="3028">
        <v>94.49</v>
      </c>
      <c r="G51" s="3028">
        <v>12.1</v>
      </c>
      <c r="H51" s="3004" t="s">
        <v>1373</v>
      </c>
      <c r="I51" s="3007" t="s">
        <v>3843</v>
      </c>
      <c r="J51" s="3010">
        <f t="shared" si="1"/>
        <v>56156</v>
      </c>
      <c r="K51" s="3007" t="str">
        <f t="shared" si="2"/>
        <v xml:space="preserve">10层 </v>
      </c>
      <c r="L51" s="3007" t="str">
        <f t="shared" si="6"/>
        <v>4层</v>
      </c>
      <c r="N51" s="3002">
        <f t="shared" ca="1" si="0"/>
        <v>1035043</v>
      </c>
    </row>
    <row r="52" spans="1:14" ht="24">
      <c r="A52" s="3003">
        <v>49</v>
      </c>
      <c r="B52" s="3003" t="s">
        <v>3129</v>
      </c>
      <c r="C52" s="3004" t="s">
        <v>3527</v>
      </c>
      <c r="D52" s="3025" t="s">
        <v>4313</v>
      </c>
      <c r="E52" s="3008" t="s">
        <v>4314</v>
      </c>
      <c r="F52" s="3028">
        <v>55.88</v>
      </c>
      <c r="G52" s="3028">
        <v>7.16</v>
      </c>
      <c r="H52" s="3004" t="s">
        <v>1373</v>
      </c>
      <c r="I52" s="3007" t="s">
        <v>3530</v>
      </c>
      <c r="J52" s="3010">
        <f t="shared" si="1"/>
        <v>56156</v>
      </c>
      <c r="K52" s="3007" t="str">
        <f t="shared" si="2"/>
        <v xml:space="preserve">10层 </v>
      </c>
      <c r="L52" s="3007" t="str">
        <f t="shared" si="6"/>
        <v>4层</v>
      </c>
      <c r="N52" s="3002">
        <f t="shared" ca="1" si="0"/>
        <v>612110</v>
      </c>
    </row>
    <row r="53" spans="1:14" ht="24">
      <c r="A53" s="3003">
        <v>50</v>
      </c>
      <c r="B53" s="3003" t="s">
        <v>3130</v>
      </c>
      <c r="C53" s="3004" t="s">
        <v>4280</v>
      </c>
      <c r="D53" s="3025" t="s">
        <v>4315</v>
      </c>
      <c r="E53" s="3008" t="s">
        <v>4316</v>
      </c>
      <c r="F53" s="3028">
        <v>65.540000000000006</v>
      </c>
      <c r="G53" s="3028">
        <v>8.39</v>
      </c>
      <c r="H53" s="3004" t="s">
        <v>1373</v>
      </c>
      <c r="I53" s="3007" t="s">
        <v>4283</v>
      </c>
      <c r="J53" s="3010">
        <f t="shared" si="1"/>
        <v>56156</v>
      </c>
      <c r="K53" s="3007" t="str">
        <f t="shared" si="2"/>
        <v xml:space="preserve">10层 </v>
      </c>
      <c r="L53" s="3007" t="str">
        <f t="shared" si="6"/>
        <v>4层</v>
      </c>
      <c r="N53" s="3002">
        <f t="shared" ca="1" si="0"/>
        <v>717925</v>
      </c>
    </row>
    <row r="54" spans="1:14" ht="24">
      <c r="A54" s="3003">
        <v>51</v>
      </c>
      <c r="B54" s="3003" t="s">
        <v>3131</v>
      </c>
      <c r="C54" s="3004" t="s">
        <v>4317</v>
      </c>
      <c r="D54" s="3025" t="s">
        <v>4318</v>
      </c>
      <c r="E54" s="3008" t="s">
        <v>4319</v>
      </c>
      <c r="F54" s="3028">
        <v>53</v>
      </c>
      <c r="G54" s="3028">
        <v>6.79</v>
      </c>
      <c r="H54" s="3004" t="s">
        <v>1373</v>
      </c>
      <c r="I54" s="3007" t="s">
        <v>4320</v>
      </c>
      <c r="J54" s="3010">
        <f t="shared" si="1"/>
        <v>56156</v>
      </c>
      <c r="K54" s="3007" t="str">
        <f t="shared" si="2"/>
        <v xml:space="preserve">10层 </v>
      </c>
      <c r="L54" s="3007" t="str">
        <f t="shared" si="6"/>
        <v>4层</v>
      </c>
      <c r="N54" s="3002">
        <f t="shared" ca="1" si="0"/>
        <v>580562</v>
      </c>
    </row>
    <row r="55" spans="1:14" ht="24">
      <c r="A55" s="3003">
        <v>52</v>
      </c>
      <c r="B55" s="3003" t="s">
        <v>3132</v>
      </c>
      <c r="C55" s="3004" t="s">
        <v>3527</v>
      </c>
      <c r="D55" s="3025" t="s">
        <v>4321</v>
      </c>
      <c r="E55" s="3008" t="s">
        <v>4322</v>
      </c>
      <c r="F55" s="3028">
        <v>52.63</v>
      </c>
      <c r="G55" s="3028">
        <v>6.74</v>
      </c>
      <c r="H55" s="3004" t="s">
        <v>1373</v>
      </c>
      <c r="I55" s="3007" t="s">
        <v>3530</v>
      </c>
      <c r="J55" s="3010">
        <f t="shared" si="1"/>
        <v>56156</v>
      </c>
      <c r="K55" s="3007" t="str">
        <f t="shared" si="2"/>
        <v xml:space="preserve">10层 </v>
      </c>
      <c r="L55" s="3007" t="str">
        <f t="shared" si="6"/>
        <v>4层</v>
      </c>
      <c r="N55" s="3002">
        <f t="shared" ca="1" si="0"/>
        <v>576509</v>
      </c>
    </row>
    <row r="56" spans="1:14" ht="24">
      <c r="A56" s="3003">
        <v>53</v>
      </c>
      <c r="B56" s="3003" t="s">
        <v>3133</v>
      </c>
      <c r="C56" s="3004" t="s">
        <v>4280</v>
      </c>
      <c r="D56" s="3025" t="s">
        <v>4323</v>
      </c>
      <c r="E56" s="3008" t="s">
        <v>4324</v>
      </c>
      <c r="F56" s="3028">
        <v>52.74</v>
      </c>
      <c r="G56" s="3028">
        <v>6.76</v>
      </c>
      <c r="H56" s="3004" t="s">
        <v>1373</v>
      </c>
      <c r="I56" s="3007" t="s">
        <v>4283</v>
      </c>
      <c r="J56" s="3010">
        <f t="shared" si="1"/>
        <v>56156</v>
      </c>
      <c r="K56" s="3007" t="str">
        <f t="shared" si="2"/>
        <v xml:space="preserve">10层 </v>
      </c>
      <c r="L56" s="3007" t="str">
        <f t="shared" si="6"/>
        <v>4层</v>
      </c>
      <c r="N56" s="3002">
        <f t="shared" ca="1" si="0"/>
        <v>577714</v>
      </c>
    </row>
    <row r="57" spans="1:14" ht="24">
      <c r="A57" s="3003">
        <v>54</v>
      </c>
      <c r="B57" s="3003" t="s">
        <v>3134</v>
      </c>
      <c r="C57" s="3004" t="s">
        <v>3527</v>
      </c>
      <c r="D57" s="3025" t="s">
        <v>4325</v>
      </c>
      <c r="E57" s="3008" t="s">
        <v>4326</v>
      </c>
      <c r="F57" s="3028">
        <v>72.180000000000007</v>
      </c>
      <c r="G57" s="3028">
        <v>9.25</v>
      </c>
      <c r="H57" s="3004" t="s">
        <v>1373</v>
      </c>
      <c r="I57" s="3007" t="s">
        <v>3530</v>
      </c>
      <c r="J57" s="3010">
        <f t="shared" si="1"/>
        <v>56156</v>
      </c>
      <c r="K57" s="3007" t="str">
        <f t="shared" si="2"/>
        <v xml:space="preserve">10层 </v>
      </c>
      <c r="L57" s="3007" t="str">
        <f t="shared" si="6"/>
        <v>4层</v>
      </c>
      <c r="N57" s="3002">
        <f t="shared" ca="1" si="0"/>
        <v>790660</v>
      </c>
    </row>
    <row r="58" spans="1:14" ht="24">
      <c r="A58" s="3003">
        <v>55</v>
      </c>
      <c r="B58" s="3003" t="s">
        <v>3143</v>
      </c>
      <c r="C58" s="3004" t="s">
        <v>3621</v>
      </c>
      <c r="D58" s="3025" t="s">
        <v>4327</v>
      </c>
      <c r="E58" s="3008" t="s">
        <v>4328</v>
      </c>
      <c r="F58" s="3028">
        <v>68.27</v>
      </c>
      <c r="G58" s="3028">
        <v>8.74</v>
      </c>
      <c r="H58" s="3004" t="s">
        <v>1373</v>
      </c>
      <c r="I58" s="3007" t="s">
        <v>3665</v>
      </c>
      <c r="J58" s="3010">
        <f t="shared" si="1"/>
        <v>56156</v>
      </c>
      <c r="K58" s="3007" t="str">
        <f t="shared" si="2"/>
        <v xml:space="preserve">10层 </v>
      </c>
      <c r="L58" s="3007" t="s">
        <v>4329</v>
      </c>
      <c r="N58" s="3002">
        <f t="shared" ca="1" si="0"/>
        <v>747830</v>
      </c>
    </row>
    <row r="59" spans="1:14" ht="24">
      <c r="A59" s="3003">
        <v>56</v>
      </c>
      <c r="B59" s="3003" t="s">
        <v>3144</v>
      </c>
      <c r="C59" s="3004" t="s">
        <v>3993</v>
      </c>
      <c r="D59" s="3025" t="s">
        <v>4330</v>
      </c>
      <c r="E59" s="3008" t="s">
        <v>4331</v>
      </c>
      <c r="F59" s="3028">
        <v>52.74</v>
      </c>
      <c r="G59" s="3028">
        <v>6.76</v>
      </c>
      <c r="H59" s="3004" t="s">
        <v>1373</v>
      </c>
      <c r="I59" s="3007" t="s">
        <v>4291</v>
      </c>
      <c r="J59" s="3010">
        <f t="shared" si="1"/>
        <v>56156</v>
      </c>
      <c r="K59" s="3007" t="str">
        <f t="shared" si="2"/>
        <v xml:space="preserve">10层 </v>
      </c>
      <c r="L59" s="3007" t="str">
        <f>L58</f>
        <v>5层</v>
      </c>
      <c r="N59" s="3002">
        <f t="shared" ca="1" si="0"/>
        <v>577714</v>
      </c>
    </row>
    <row r="60" spans="1:14" ht="24">
      <c r="A60" s="3003">
        <v>57</v>
      </c>
      <c r="B60" s="3003" t="s">
        <v>3145</v>
      </c>
      <c r="C60" s="3004" t="s">
        <v>3527</v>
      </c>
      <c r="D60" s="3025" t="s">
        <v>4332</v>
      </c>
      <c r="E60" s="3008" t="s">
        <v>4333</v>
      </c>
      <c r="F60" s="3028">
        <v>52.63</v>
      </c>
      <c r="G60" s="3028">
        <v>6.74</v>
      </c>
      <c r="H60" s="3004" t="s">
        <v>1373</v>
      </c>
      <c r="I60" s="3007" t="s">
        <v>3530</v>
      </c>
      <c r="J60" s="3010">
        <f t="shared" si="1"/>
        <v>56156</v>
      </c>
      <c r="K60" s="3007" t="str">
        <f t="shared" si="2"/>
        <v xml:space="preserve">10层 </v>
      </c>
      <c r="L60" s="3007" t="str">
        <f t="shared" ref="L60:L71" si="7">L59</f>
        <v>5层</v>
      </c>
      <c r="N60" s="3002">
        <f t="shared" ca="1" si="0"/>
        <v>576509</v>
      </c>
    </row>
    <row r="61" spans="1:14" ht="24">
      <c r="A61" s="3003">
        <v>58</v>
      </c>
      <c r="B61" s="3003" t="s">
        <v>3146</v>
      </c>
      <c r="C61" s="3004" t="s">
        <v>4047</v>
      </c>
      <c r="D61" s="3025" t="s">
        <v>4334</v>
      </c>
      <c r="E61" s="3008" t="s">
        <v>4335</v>
      </c>
      <c r="F61" s="3028">
        <v>53</v>
      </c>
      <c r="G61" s="3028">
        <v>6.79</v>
      </c>
      <c r="H61" s="3004" t="s">
        <v>1373</v>
      </c>
      <c r="I61" s="3007" t="s">
        <v>4336</v>
      </c>
      <c r="J61" s="3010">
        <f t="shared" si="1"/>
        <v>56156</v>
      </c>
      <c r="K61" s="3007" t="str">
        <f t="shared" si="2"/>
        <v xml:space="preserve">10层 </v>
      </c>
      <c r="L61" s="3007" t="str">
        <f t="shared" si="7"/>
        <v>5层</v>
      </c>
      <c r="N61" s="3002">
        <f t="shared" ca="1" si="0"/>
        <v>580562</v>
      </c>
    </row>
    <row r="62" spans="1:14" ht="24">
      <c r="A62" s="3003">
        <v>59</v>
      </c>
      <c r="B62" s="3003" t="s">
        <v>3147</v>
      </c>
      <c r="C62" s="3004" t="s">
        <v>3840</v>
      </c>
      <c r="D62" s="3025" t="s">
        <v>4337</v>
      </c>
      <c r="E62" s="3008" t="s">
        <v>4338</v>
      </c>
      <c r="F62" s="3028">
        <v>65.540000000000006</v>
      </c>
      <c r="G62" s="3028">
        <v>8.39</v>
      </c>
      <c r="H62" s="3004" t="s">
        <v>1373</v>
      </c>
      <c r="I62" s="3007" t="s">
        <v>4336</v>
      </c>
      <c r="J62" s="3010">
        <f t="shared" si="1"/>
        <v>56156</v>
      </c>
      <c r="K62" s="3007" t="str">
        <f t="shared" si="2"/>
        <v xml:space="preserve">10层 </v>
      </c>
      <c r="L62" s="3007" t="str">
        <f t="shared" si="7"/>
        <v>5层</v>
      </c>
      <c r="N62" s="3002">
        <f t="shared" ca="1" si="0"/>
        <v>717925</v>
      </c>
    </row>
    <row r="63" spans="1:14" ht="24">
      <c r="A63" s="3003">
        <v>60</v>
      </c>
      <c r="B63" s="3003" t="s">
        <v>3148</v>
      </c>
      <c r="C63" s="3004" t="s">
        <v>3840</v>
      </c>
      <c r="D63" s="3025" t="s">
        <v>4339</v>
      </c>
      <c r="E63" s="3008" t="s">
        <v>4340</v>
      </c>
      <c r="F63" s="3028">
        <v>55.88</v>
      </c>
      <c r="G63" s="3028">
        <v>7.16</v>
      </c>
      <c r="H63" s="3004" t="s">
        <v>1373</v>
      </c>
      <c r="I63" s="3007" t="s">
        <v>3843</v>
      </c>
      <c r="J63" s="3010">
        <f t="shared" si="1"/>
        <v>56156</v>
      </c>
      <c r="K63" s="3007" t="str">
        <f t="shared" si="2"/>
        <v xml:space="preserve">10层 </v>
      </c>
      <c r="L63" s="3007" t="str">
        <f t="shared" si="7"/>
        <v>5层</v>
      </c>
      <c r="N63" s="3002">
        <f t="shared" ca="1" si="0"/>
        <v>612110</v>
      </c>
    </row>
    <row r="64" spans="1:14" ht="24">
      <c r="A64" s="3003">
        <v>61</v>
      </c>
      <c r="B64" s="3003" t="s">
        <v>3149</v>
      </c>
      <c r="C64" s="3004" t="s">
        <v>3527</v>
      </c>
      <c r="D64" s="3025" t="s">
        <v>4341</v>
      </c>
      <c r="E64" s="3008" t="s">
        <v>4342</v>
      </c>
      <c r="F64" s="3028">
        <v>94.49</v>
      </c>
      <c r="G64" s="3028">
        <v>12.1</v>
      </c>
      <c r="H64" s="3004" t="s">
        <v>1373</v>
      </c>
      <c r="I64" s="3007" t="s">
        <v>3530</v>
      </c>
      <c r="J64" s="3010">
        <f t="shared" si="1"/>
        <v>56156</v>
      </c>
      <c r="K64" s="3007" t="str">
        <f t="shared" si="2"/>
        <v xml:space="preserve">10层 </v>
      </c>
      <c r="L64" s="3007" t="str">
        <f t="shared" si="7"/>
        <v>5层</v>
      </c>
      <c r="N64" s="3002">
        <f t="shared" ca="1" si="0"/>
        <v>1035043</v>
      </c>
    </row>
    <row r="65" spans="1:14" ht="24">
      <c r="A65" s="3003">
        <v>62</v>
      </c>
      <c r="B65" s="3003" t="s">
        <v>3150</v>
      </c>
      <c r="C65" s="3004" t="s">
        <v>3999</v>
      </c>
      <c r="D65" s="3025" t="s">
        <v>4343</v>
      </c>
      <c r="E65" s="3008" t="s">
        <v>4344</v>
      </c>
      <c r="F65" s="3028">
        <v>94.49</v>
      </c>
      <c r="G65" s="3028">
        <v>12.1</v>
      </c>
      <c r="H65" s="3004" t="s">
        <v>1373</v>
      </c>
      <c r="I65" s="3007" t="s">
        <v>4345</v>
      </c>
      <c r="J65" s="3010">
        <f t="shared" si="1"/>
        <v>56156</v>
      </c>
      <c r="K65" s="3007" t="str">
        <f t="shared" si="2"/>
        <v xml:space="preserve">10层 </v>
      </c>
      <c r="L65" s="3007" t="str">
        <f t="shared" si="7"/>
        <v>5层</v>
      </c>
      <c r="N65" s="3002">
        <f t="shared" ca="1" si="0"/>
        <v>1035043</v>
      </c>
    </row>
    <row r="66" spans="1:14" ht="24">
      <c r="A66" s="3003">
        <v>63</v>
      </c>
      <c r="B66" s="3003" t="s">
        <v>3151</v>
      </c>
      <c r="C66" s="3004" t="s">
        <v>3621</v>
      </c>
      <c r="D66" s="3025" t="s">
        <v>4346</v>
      </c>
      <c r="E66" s="3008" t="s">
        <v>4347</v>
      </c>
      <c r="F66" s="3028">
        <v>55.88</v>
      </c>
      <c r="G66" s="3028">
        <v>7.16</v>
      </c>
      <c r="H66" s="3004" t="s">
        <v>1373</v>
      </c>
      <c r="I66" s="3007" t="s">
        <v>3665</v>
      </c>
      <c r="J66" s="3010">
        <f t="shared" si="1"/>
        <v>56156</v>
      </c>
      <c r="K66" s="3007" t="str">
        <f t="shared" si="2"/>
        <v xml:space="preserve">10层 </v>
      </c>
      <c r="L66" s="3007" t="str">
        <f t="shared" si="7"/>
        <v>5层</v>
      </c>
      <c r="N66" s="3002">
        <f t="shared" ca="1" si="0"/>
        <v>612110</v>
      </c>
    </row>
    <row r="67" spans="1:14" ht="24">
      <c r="A67" s="3003">
        <v>64</v>
      </c>
      <c r="B67" s="3003" t="s">
        <v>3152</v>
      </c>
      <c r="C67" s="3004" t="s">
        <v>3993</v>
      </c>
      <c r="D67" s="3025" t="s">
        <v>4348</v>
      </c>
      <c r="E67" s="3008" t="s">
        <v>4349</v>
      </c>
      <c r="F67" s="3028">
        <v>65.540000000000006</v>
      </c>
      <c r="G67" s="3028">
        <v>8.39</v>
      </c>
      <c r="H67" s="3004" t="s">
        <v>1373</v>
      </c>
      <c r="I67" s="3007" t="s">
        <v>4291</v>
      </c>
      <c r="J67" s="3010">
        <f t="shared" si="1"/>
        <v>56156</v>
      </c>
      <c r="K67" s="3007" t="str">
        <f t="shared" si="2"/>
        <v xml:space="preserve">10层 </v>
      </c>
      <c r="L67" s="3007" t="str">
        <f t="shared" si="7"/>
        <v>5层</v>
      </c>
      <c r="N67" s="3002">
        <f t="shared" ca="1" si="0"/>
        <v>717925</v>
      </c>
    </row>
    <row r="68" spans="1:14" ht="24">
      <c r="A68" s="3003">
        <v>65</v>
      </c>
      <c r="B68" s="3003" t="s">
        <v>3153</v>
      </c>
      <c r="C68" s="3004" t="s">
        <v>3527</v>
      </c>
      <c r="D68" s="3025" t="s">
        <v>4350</v>
      </c>
      <c r="E68" s="3008" t="s">
        <v>4351</v>
      </c>
      <c r="F68" s="3028">
        <v>53</v>
      </c>
      <c r="G68" s="3028">
        <v>6.79</v>
      </c>
      <c r="H68" s="3004" t="s">
        <v>1373</v>
      </c>
      <c r="I68" s="3007" t="s">
        <v>3530</v>
      </c>
      <c r="J68" s="3010">
        <f t="shared" si="1"/>
        <v>56156</v>
      </c>
      <c r="K68" s="3007" t="str">
        <f t="shared" si="2"/>
        <v xml:space="preserve">10层 </v>
      </c>
      <c r="L68" s="3007" t="str">
        <f t="shared" si="7"/>
        <v>5层</v>
      </c>
      <c r="N68" s="3002">
        <f t="shared" ca="1" si="0"/>
        <v>580562</v>
      </c>
    </row>
    <row r="69" spans="1:14" ht="24">
      <c r="A69" s="3003">
        <v>66</v>
      </c>
      <c r="B69" s="3003" t="s">
        <v>3154</v>
      </c>
      <c r="C69" s="3004" t="s">
        <v>4280</v>
      </c>
      <c r="D69" s="3025" t="s">
        <v>4352</v>
      </c>
      <c r="E69" s="3008" t="s">
        <v>4353</v>
      </c>
      <c r="F69" s="3028">
        <v>52.63</v>
      </c>
      <c r="G69" s="3028">
        <v>6.74</v>
      </c>
      <c r="H69" s="3004" t="s">
        <v>1373</v>
      </c>
      <c r="I69" s="3007" t="s">
        <v>4283</v>
      </c>
      <c r="J69" s="3010">
        <f t="shared" si="1"/>
        <v>56156</v>
      </c>
      <c r="K69" s="3007" t="str">
        <f t="shared" si="2"/>
        <v xml:space="preserve">10层 </v>
      </c>
      <c r="L69" s="3007" t="str">
        <f t="shared" si="7"/>
        <v>5层</v>
      </c>
      <c r="N69" s="3002">
        <f t="shared" ref="N69:N126" ca="1" si="8">ROUND(F69*$M$4,0)</f>
        <v>576509</v>
      </c>
    </row>
    <row r="70" spans="1:14" ht="24">
      <c r="A70" s="3003">
        <v>67</v>
      </c>
      <c r="B70" s="3003" t="s">
        <v>3155</v>
      </c>
      <c r="C70" s="3004" t="s">
        <v>4354</v>
      </c>
      <c r="D70" s="3025" t="s">
        <v>4355</v>
      </c>
      <c r="E70" s="3008" t="s">
        <v>4356</v>
      </c>
      <c r="F70" s="3028">
        <v>52.74</v>
      </c>
      <c r="G70" s="3028">
        <v>6.76</v>
      </c>
      <c r="H70" s="3004" t="s">
        <v>1373</v>
      </c>
      <c r="I70" s="3007" t="s">
        <v>4357</v>
      </c>
      <c r="J70" s="3010">
        <f t="shared" ref="J70:J126" si="9">$J$4</f>
        <v>56156</v>
      </c>
      <c r="K70" s="3007" t="str">
        <f t="shared" ref="K70:K126" si="10">$K$4</f>
        <v xml:space="preserve">10层 </v>
      </c>
      <c r="L70" s="3007" t="str">
        <f t="shared" si="7"/>
        <v>5层</v>
      </c>
      <c r="N70" s="3002">
        <f t="shared" ca="1" si="8"/>
        <v>577714</v>
      </c>
    </row>
    <row r="71" spans="1:14" ht="24">
      <c r="A71" s="3003">
        <v>68</v>
      </c>
      <c r="B71" s="3003" t="s">
        <v>3156</v>
      </c>
      <c r="C71" s="3004" t="s">
        <v>3993</v>
      </c>
      <c r="D71" s="3025" t="s">
        <v>4358</v>
      </c>
      <c r="E71" s="3008" t="s">
        <v>4359</v>
      </c>
      <c r="F71" s="3028">
        <v>72.180000000000007</v>
      </c>
      <c r="G71" s="3028">
        <v>9.25</v>
      </c>
      <c r="H71" s="3004" t="s">
        <v>1373</v>
      </c>
      <c r="I71" s="3007" t="s">
        <v>4291</v>
      </c>
      <c r="J71" s="3010">
        <f t="shared" si="9"/>
        <v>56156</v>
      </c>
      <c r="K71" s="3007" t="str">
        <f t="shared" si="10"/>
        <v xml:space="preserve">10层 </v>
      </c>
      <c r="L71" s="3007" t="str">
        <f t="shared" si="7"/>
        <v>5层</v>
      </c>
      <c r="N71" s="3002">
        <f t="shared" ca="1" si="8"/>
        <v>790660</v>
      </c>
    </row>
    <row r="72" spans="1:14" ht="24">
      <c r="A72" s="3003">
        <v>69</v>
      </c>
      <c r="B72" s="3003" t="s">
        <v>3164</v>
      </c>
      <c r="C72" s="3004" t="s">
        <v>4274</v>
      </c>
      <c r="D72" s="3025" t="s">
        <v>4360</v>
      </c>
      <c r="E72" s="3008" t="s">
        <v>4361</v>
      </c>
      <c r="F72" s="3028">
        <v>68.27</v>
      </c>
      <c r="G72" s="3028">
        <v>8.74</v>
      </c>
      <c r="H72" s="3004" t="s">
        <v>1373</v>
      </c>
      <c r="I72" s="3007" t="s">
        <v>4277</v>
      </c>
      <c r="J72" s="3010">
        <f t="shared" si="9"/>
        <v>56156</v>
      </c>
      <c r="K72" s="3007" t="str">
        <f t="shared" si="10"/>
        <v xml:space="preserve">10层 </v>
      </c>
      <c r="L72" s="3007" t="s">
        <v>3660</v>
      </c>
      <c r="N72" s="3002">
        <f t="shared" ca="1" si="8"/>
        <v>747830</v>
      </c>
    </row>
    <row r="73" spans="1:14" ht="24">
      <c r="A73" s="3003">
        <v>70</v>
      </c>
      <c r="B73" s="3003" t="s">
        <v>3165</v>
      </c>
      <c r="C73" s="3004" t="s">
        <v>3527</v>
      </c>
      <c r="D73" s="3025" t="s">
        <v>4362</v>
      </c>
      <c r="E73" s="3008" t="s">
        <v>4363</v>
      </c>
      <c r="F73" s="3028">
        <v>52.74</v>
      </c>
      <c r="G73" s="3028">
        <v>6.76</v>
      </c>
      <c r="H73" s="3004" t="s">
        <v>1373</v>
      </c>
      <c r="I73" s="3007" t="s">
        <v>3530</v>
      </c>
      <c r="J73" s="3010">
        <f t="shared" si="9"/>
        <v>56156</v>
      </c>
      <c r="K73" s="3007" t="str">
        <f t="shared" si="10"/>
        <v xml:space="preserve">10层 </v>
      </c>
      <c r="L73" s="3007" t="str">
        <f>L72</f>
        <v>6层</v>
      </c>
      <c r="N73" s="3002">
        <f t="shared" ca="1" si="8"/>
        <v>577714</v>
      </c>
    </row>
    <row r="74" spans="1:14" ht="24">
      <c r="A74" s="3003">
        <v>71</v>
      </c>
      <c r="B74" s="3003" t="s">
        <v>3166</v>
      </c>
      <c r="C74" s="3004" t="s">
        <v>3527</v>
      </c>
      <c r="D74" s="3025" t="s">
        <v>4364</v>
      </c>
      <c r="E74" s="3008" t="s">
        <v>4365</v>
      </c>
      <c r="F74" s="3028">
        <v>52.63</v>
      </c>
      <c r="G74" s="3028">
        <v>6.74</v>
      </c>
      <c r="H74" s="3004" t="s">
        <v>1373</v>
      </c>
      <c r="I74" s="3007" t="s">
        <v>3530</v>
      </c>
      <c r="J74" s="3010">
        <f t="shared" si="9"/>
        <v>56156</v>
      </c>
      <c r="K74" s="3007" t="str">
        <f t="shared" si="10"/>
        <v xml:space="preserve">10层 </v>
      </c>
      <c r="L74" s="3007" t="str">
        <f t="shared" ref="L74:L85" si="11">L73</f>
        <v>6层</v>
      </c>
      <c r="N74" s="3002">
        <f t="shared" ca="1" si="8"/>
        <v>576509</v>
      </c>
    </row>
    <row r="75" spans="1:14" ht="24">
      <c r="A75" s="3003">
        <v>72</v>
      </c>
      <c r="B75" s="3003" t="s">
        <v>3167</v>
      </c>
      <c r="C75" s="3004" t="s">
        <v>3527</v>
      </c>
      <c r="D75" s="3025" t="s">
        <v>4366</v>
      </c>
      <c r="E75" s="3008" t="s">
        <v>4367</v>
      </c>
      <c r="F75" s="3028">
        <v>53</v>
      </c>
      <c r="G75" s="3028">
        <v>6.79</v>
      </c>
      <c r="H75" s="3004" t="s">
        <v>1373</v>
      </c>
      <c r="I75" s="3007" t="s">
        <v>3530</v>
      </c>
      <c r="J75" s="3010">
        <f t="shared" si="9"/>
        <v>56156</v>
      </c>
      <c r="K75" s="3007" t="str">
        <f t="shared" si="10"/>
        <v xml:space="preserve">10层 </v>
      </c>
      <c r="L75" s="3007" t="str">
        <f t="shared" si="11"/>
        <v>6层</v>
      </c>
      <c r="N75" s="3002">
        <f t="shared" ca="1" si="8"/>
        <v>580562</v>
      </c>
    </row>
    <row r="76" spans="1:14" ht="24">
      <c r="A76" s="3003">
        <v>73</v>
      </c>
      <c r="B76" s="3003" t="s">
        <v>3168</v>
      </c>
      <c r="C76" s="3004" t="s">
        <v>4280</v>
      </c>
      <c r="D76" s="3025" t="s">
        <v>4368</v>
      </c>
      <c r="E76" s="3008" t="s">
        <v>4369</v>
      </c>
      <c r="F76" s="3028">
        <v>65.540000000000006</v>
      </c>
      <c r="G76" s="3028">
        <v>8.39</v>
      </c>
      <c r="H76" s="3004" t="s">
        <v>1373</v>
      </c>
      <c r="I76" s="3007" t="s">
        <v>4283</v>
      </c>
      <c r="J76" s="3010">
        <f t="shared" si="9"/>
        <v>56156</v>
      </c>
      <c r="K76" s="3007" t="str">
        <f t="shared" si="10"/>
        <v xml:space="preserve">10层 </v>
      </c>
      <c r="L76" s="3007" t="str">
        <f t="shared" si="11"/>
        <v>6层</v>
      </c>
      <c r="N76" s="3002">
        <f t="shared" ca="1" si="8"/>
        <v>717925</v>
      </c>
    </row>
    <row r="77" spans="1:14" ht="24">
      <c r="A77" s="3003">
        <v>74</v>
      </c>
      <c r="B77" s="3003" t="s">
        <v>3169</v>
      </c>
      <c r="C77" s="3004" t="s">
        <v>4370</v>
      </c>
      <c r="D77" s="3025" t="s">
        <v>4371</v>
      </c>
      <c r="E77" s="3008" t="s">
        <v>4372</v>
      </c>
      <c r="F77" s="3028">
        <v>55.88</v>
      </c>
      <c r="G77" s="3028">
        <v>7.16</v>
      </c>
      <c r="H77" s="3004" t="s">
        <v>1373</v>
      </c>
      <c r="I77" s="3007" t="s">
        <v>4373</v>
      </c>
      <c r="J77" s="3010">
        <f t="shared" si="9"/>
        <v>56156</v>
      </c>
      <c r="K77" s="3007" t="str">
        <f t="shared" si="10"/>
        <v xml:space="preserve">10层 </v>
      </c>
      <c r="L77" s="3007" t="str">
        <f t="shared" si="11"/>
        <v>6层</v>
      </c>
      <c r="N77" s="3002">
        <f t="shared" ca="1" si="8"/>
        <v>612110</v>
      </c>
    </row>
    <row r="78" spans="1:14" ht="24">
      <c r="A78" s="3003">
        <v>75</v>
      </c>
      <c r="B78" s="3003" t="s">
        <v>3170</v>
      </c>
      <c r="C78" s="3004" t="s">
        <v>3840</v>
      </c>
      <c r="D78" s="3025" t="s">
        <v>4374</v>
      </c>
      <c r="E78" s="3008" t="s">
        <v>4375</v>
      </c>
      <c r="F78" s="3028">
        <v>94.49</v>
      </c>
      <c r="G78" s="3028">
        <v>12.1</v>
      </c>
      <c r="H78" s="3004" t="s">
        <v>1373</v>
      </c>
      <c r="I78" s="3007" t="s">
        <v>3843</v>
      </c>
      <c r="J78" s="3010">
        <f t="shared" si="9"/>
        <v>56156</v>
      </c>
      <c r="K78" s="3007" t="str">
        <f t="shared" si="10"/>
        <v xml:space="preserve">10层 </v>
      </c>
      <c r="L78" s="3007" t="str">
        <f t="shared" si="11"/>
        <v>6层</v>
      </c>
      <c r="N78" s="3002">
        <f t="shared" ca="1" si="8"/>
        <v>1035043</v>
      </c>
    </row>
    <row r="79" spans="1:14" ht="24">
      <c r="A79" s="3003">
        <v>76</v>
      </c>
      <c r="B79" s="3003" t="s">
        <v>3171</v>
      </c>
      <c r="C79" s="3004" t="s">
        <v>3840</v>
      </c>
      <c r="D79" s="3025" t="s">
        <v>4376</v>
      </c>
      <c r="E79" s="3008" t="s">
        <v>4377</v>
      </c>
      <c r="F79" s="3028">
        <v>94.49</v>
      </c>
      <c r="G79" s="3028">
        <v>12.1</v>
      </c>
      <c r="H79" s="3004" t="s">
        <v>1373</v>
      </c>
      <c r="I79" s="3007" t="s">
        <v>3843</v>
      </c>
      <c r="J79" s="3010">
        <f t="shared" si="9"/>
        <v>56156</v>
      </c>
      <c r="K79" s="3007" t="str">
        <f t="shared" si="10"/>
        <v xml:space="preserve">10层 </v>
      </c>
      <c r="L79" s="3007" t="str">
        <f t="shared" si="11"/>
        <v>6层</v>
      </c>
      <c r="N79" s="3002">
        <f t="shared" ca="1" si="8"/>
        <v>1035043</v>
      </c>
    </row>
    <row r="80" spans="1:14" ht="24">
      <c r="A80" s="3003">
        <v>77</v>
      </c>
      <c r="B80" s="3003" t="s">
        <v>3172</v>
      </c>
      <c r="C80" s="3004" t="s">
        <v>4073</v>
      </c>
      <c r="D80" s="3025" t="s">
        <v>4378</v>
      </c>
      <c r="E80" s="3008" t="s">
        <v>4379</v>
      </c>
      <c r="F80" s="3028">
        <v>55.88</v>
      </c>
      <c r="G80" s="3028">
        <v>7.16</v>
      </c>
      <c r="H80" s="3004" t="s">
        <v>1373</v>
      </c>
      <c r="I80" s="3007" t="s">
        <v>4380</v>
      </c>
      <c r="J80" s="3010">
        <f t="shared" si="9"/>
        <v>56156</v>
      </c>
      <c r="K80" s="3007" t="str">
        <f t="shared" si="10"/>
        <v xml:space="preserve">10层 </v>
      </c>
      <c r="L80" s="3007" t="str">
        <f t="shared" si="11"/>
        <v>6层</v>
      </c>
      <c r="N80" s="3002">
        <f t="shared" ca="1" si="8"/>
        <v>612110</v>
      </c>
    </row>
    <row r="81" spans="1:14" ht="24">
      <c r="A81" s="3003">
        <v>78</v>
      </c>
      <c r="B81" s="3003" t="s">
        <v>3173</v>
      </c>
      <c r="C81" s="3004" t="s">
        <v>3449</v>
      </c>
      <c r="D81" s="3025" t="s">
        <v>4381</v>
      </c>
      <c r="E81" s="3008" t="s">
        <v>4382</v>
      </c>
      <c r="F81" s="3028">
        <v>65.540000000000006</v>
      </c>
      <c r="G81" s="3028">
        <v>8.39</v>
      </c>
      <c r="H81" s="3004" t="s">
        <v>1373</v>
      </c>
      <c r="I81" s="3007" t="s">
        <v>3448</v>
      </c>
      <c r="J81" s="3010">
        <f t="shared" si="9"/>
        <v>56156</v>
      </c>
      <c r="K81" s="3007" t="str">
        <f t="shared" si="10"/>
        <v xml:space="preserve">10层 </v>
      </c>
      <c r="L81" s="3007" t="str">
        <f t="shared" si="11"/>
        <v>6层</v>
      </c>
      <c r="N81" s="3002">
        <f t="shared" ca="1" si="8"/>
        <v>717925</v>
      </c>
    </row>
    <row r="82" spans="1:14" ht="24">
      <c r="A82" s="3003">
        <v>79</v>
      </c>
      <c r="B82" s="3003" t="s">
        <v>3174</v>
      </c>
      <c r="C82" s="3004" t="s">
        <v>3621</v>
      </c>
      <c r="D82" s="3025" t="s">
        <v>4383</v>
      </c>
      <c r="E82" s="3008" t="s">
        <v>4384</v>
      </c>
      <c r="F82" s="3028">
        <v>53</v>
      </c>
      <c r="G82" s="3028">
        <v>6.79</v>
      </c>
      <c r="H82" s="3004" t="s">
        <v>1373</v>
      </c>
      <c r="I82" s="3007" t="s">
        <v>3665</v>
      </c>
      <c r="J82" s="3010">
        <f t="shared" si="9"/>
        <v>56156</v>
      </c>
      <c r="K82" s="3007" t="str">
        <f t="shared" si="10"/>
        <v xml:space="preserve">10层 </v>
      </c>
      <c r="L82" s="3007" t="str">
        <f t="shared" si="11"/>
        <v>6层</v>
      </c>
      <c r="N82" s="3002">
        <f t="shared" ca="1" si="8"/>
        <v>580562</v>
      </c>
    </row>
    <row r="83" spans="1:14" ht="24">
      <c r="A83" s="3003">
        <v>80</v>
      </c>
      <c r="B83" s="3003" t="s">
        <v>3175</v>
      </c>
      <c r="C83" s="3004" t="s">
        <v>4370</v>
      </c>
      <c r="D83" s="3025" t="s">
        <v>4385</v>
      </c>
      <c r="E83" s="3008" t="s">
        <v>4386</v>
      </c>
      <c r="F83" s="3028">
        <v>0</v>
      </c>
      <c r="G83" s="3028">
        <v>0</v>
      </c>
      <c r="H83" s="3004" t="s">
        <v>1373</v>
      </c>
      <c r="I83" s="3007" t="s">
        <v>4373</v>
      </c>
      <c r="J83" s="3010">
        <f t="shared" si="9"/>
        <v>56156</v>
      </c>
      <c r="K83" s="3007" t="str">
        <f t="shared" si="10"/>
        <v xml:space="preserve">10层 </v>
      </c>
      <c r="L83" s="3007" t="str">
        <f t="shared" si="11"/>
        <v>6层</v>
      </c>
      <c r="N83" s="3002">
        <f t="shared" ca="1" si="8"/>
        <v>0</v>
      </c>
    </row>
    <row r="84" spans="1:14" ht="24">
      <c r="A84" s="3003">
        <v>81</v>
      </c>
      <c r="B84" s="3003" t="s">
        <v>3176</v>
      </c>
      <c r="C84" s="3004" t="s">
        <v>3437</v>
      </c>
      <c r="D84" s="3025" t="s">
        <v>4387</v>
      </c>
      <c r="E84" s="3008" t="s">
        <v>4388</v>
      </c>
      <c r="F84" s="3028">
        <v>52.74</v>
      </c>
      <c r="G84" s="3028">
        <v>6.76</v>
      </c>
      <c r="H84" s="3004" t="s">
        <v>1373</v>
      </c>
      <c r="I84" s="3007" t="s">
        <v>4373</v>
      </c>
      <c r="J84" s="3010">
        <f t="shared" si="9"/>
        <v>56156</v>
      </c>
      <c r="K84" s="3007" t="str">
        <f t="shared" si="10"/>
        <v xml:space="preserve">10层 </v>
      </c>
      <c r="L84" s="3007" t="str">
        <f t="shared" si="11"/>
        <v>6层</v>
      </c>
      <c r="N84" s="3002">
        <f t="shared" ca="1" si="8"/>
        <v>577714</v>
      </c>
    </row>
    <row r="85" spans="1:14" ht="24">
      <c r="A85" s="3003">
        <v>82</v>
      </c>
      <c r="B85" s="3003" t="s">
        <v>3177</v>
      </c>
      <c r="C85" s="3004" t="s">
        <v>3437</v>
      </c>
      <c r="D85" s="3025" t="s">
        <v>4389</v>
      </c>
      <c r="E85" s="3008" t="s">
        <v>4390</v>
      </c>
      <c r="F85" s="3028">
        <v>72.180000000000007</v>
      </c>
      <c r="G85" s="3028">
        <v>9.25</v>
      </c>
      <c r="H85" s="3004" t="s">
        <v>1373</v>
      </c>
      <c r="I85" s="3007" t="s">
        <v>3434</v>
      </c>
      <c r="J85" s="3010">
        <f t="shared" si="9"/>
        <v>56156</v>
      </c>
      <c r="K85" s="3007" t="str">
        <f t="shared" si="10"/>
        <v xml:space="preserve">10层 </v>
      </c>
      <c r="L85" s="3007" t="str">
        <f t="shared" si="11"/>
        <v>6层</v>
      </c>
      <c r="N85" s="3002">
        <f t="shared" ca="1" si="8"/>
        <v>790660</v>
      </c>
    </row>
    <row r="86" spans="1:14" ht="24">
      <c r="A86" s="3003">
        <v>83</v>
      </c>
      <c r="B86" s="3003" t="s">
        <v>3185</v>
      </c>
      <c r="C86" s="3004" t="s">
        <v>3840</v>
      </c>
      <c r="D86" s="3025" t="s">
        <v>4391</v>
      </c>
      <c r="E86" s="3008" t="s">
        <v>4392</v>
      </c>
      <c r="F86" s="3028">
        <v>68.63</v>
      </c>
      <c r="G86" s="3028">
        <v>8.7899999999999991</v>
      </c>
      <c r="H86" s="3004" t="s">
        <v>1373</v>
      </c>
      <c r="I86" s="3007" t="s">
        <v>3843</v>
      </c>
      <c r="J86" s="3010">
        <f t="shared" si="9"/>
        <v>56156</v>
      </c>
      <c r="K86" s="3007" t="str">
        <f t="shared" si="10"/>
        <v xml:space="preserve">10层 </v>
      </c>
      <c r="L86" s="3007" t="s">
        <v>4393</v>
      </c>
      <c r="N86" s="3002">
        <f t="shared" ca="1" si="8"/>
        <v>751773</v>
      </c>
    </row>
    <row r="87" spans="1:14" ht="24">
      <c r="A87" s="3003">
        <v>84</v>
      </c>
      <c r="B87" s="3003" t="s">
        <v>3186</v>
      </c>
      <c r="C87" s="3004" t="s">
        <v>4070</v>
      </c>
      <c r="D87" s="3025" t="s">
        <v>4394</v>
      </c>
      <c r="E87" s="3008" t="s">
        <v>4395</v>
      </c>
      <c r="F87" s="3028">
        <v>53.03</v>
      </c>
      <c r="G87" s="3028">
        <v>6.79</v>
      </c>
      <c r="H87" s="3004" t="s">
        <v>1373</v>
      </c>
      <c r="I87" s="3007" t="s">
        <v>4396</v>
      </c>
      <c r="J87" s="3010">
        <f t="shared" si="9"/>
        <v>56156</v>
      </c>
      <c r="K87" s="3007" t="str">
        <f t="shared" si="10"/>
        <v xml:space="preserve">10层 </v>
      </c>
      <c r="L87" s="3007" t="str">
        <f>L86</f>
        <v>7层</v>
      </c>
      <c r="N87" s="3002">
        <f t="shared" ca="1" si="8"/>
        <v>580891</v>
      </c>
    </row>
    <row r="88" spans="1:14" ht="24">
      <c r="A88" s="3003">
        <v>85</v>
      </c>
      <c r="B88" s="3003" t="s">
        <v>3187</v>
      </c>
      <c r="C88" s="3004" t="s">
        <v>3621</v>
      </c>
      <c r="D88" s="3025" t="s">
        <v>4397</v>
      </c>
      <c r="E88" s="3008" t="s">
        <v>4398</v>
      </c>
      <c r="F88" s="3028">
        <v>52.91</v>
      </c>
      <c r="G88" s="3028">
        <v>6.78</v>
      </c>
      <c r="H88" s="3004" t="s">
        <v>1373</v>
      </c>
      <c r="I88" s="3007" t="s">
        <v>3665</v>
      </c>
      <c r="J88" s="3010">
        <f t="shared" si="9"/>
        <v>56156</v>
      </c>
      <c r="K88" s="3007" t="str">
        <f t="shared" si="10"/>
        <v xml:space="preserve">10层 </v>
      </c>
      <c r="L88" s="3007" t="str">
        <f t="shared" ref="L88:L99" si="12">L87</f>
        <v>7层</v>
      </c>
      <c r="N88" s="3002">
        <f t="shared" ca="1" si="8"/>
        <v>579576</v>
      </c>
    </row>
    <row r="89" spans="1:14" ht="24">
      <c r="A89" s="3003">
        <v>86</v>
      </c>
      <c r="B89" s="3003" t="s">
        <v>3188</v>
      </c>
      <c r="C89" s="3004" t="s">
        <v>4399</v>
      </c>
      <c r="D89" s="3025" t="s">
        <v>4400</v>
      </c>
      <c r="E89" s="3008" t="s">
        <v>4401</v>
      </c>
      <c r="F89" s="3028">
        <v>53.28</v>
      </c>
      <c r="G89" s="3028">
        <v>6.82</v>
      </c>
      <c r="H89" s="3004" t="s">
        <v>1373</v>
      </c>
      <c r="I89" s="3007" t="s">
        <v>4402</v>
      </c>
      <c r="J89" s="3010">
        <f t="shared" si="9"/>
        <v>56156</v>
      </c>
      <c r="K89" s="3007" t="str">
        <f t="shared" si="10"/>
        <v xml:space="preserve">10层 </v>
      </c>
      <c r="L89" s="3007" t="str">
        <f t="shared" si="12"/>
        <v>7层</v>
      </c>
      <c r="N89" s="3002">
        <f t="shared" ca="1" si="8"/>
        <v>583629</v>
      </c>
    </row>
    <row r="90" spans="1:14" ht="24">
      <c r="A90" s="3003">
        <v>87</v>
      </c>
      <c r="B90" s="3003" t="s">
        <v>3189</v>
      </c>
      <c r="C90" s="3004" t="s">
        <v>3993</v>
      </c>
      <c r="D90" s="3025" t="s">
        <v>4403</v>
      </c>
      <c r="E90" s="3008" t="s">
        <v>4404</v>
      </c>
      <c r="F90" s="3028">
        <v>65.89</v>
      </c>
      <c r="G90" s="3028">
        <v>8.44</v>
      </c>
      <c r="H90" s="3004" t="s">
        <v>1373</v>
      </c>
      <c r="I90" s="3007" t="s">
        <v>4291</v>
      </c>
      <c r="J90" s="3010">
        <f t="shared" si="9"/>
        <v>56156</v>
      </c>
      <c r="K90" s="3007" t="str">
        <f t="shared" si="10"/>
        <v xml:space="preserve">10层 </v>
      </c>
      <c r="L90" s="3007" t="str">
        <f t="shared" si="12"/>
        <v>7层</v>
      </c>
      <c r="N90" s="3002">
        <f t="shared" ca="1" si="8"/>
        <v>721759</v>
      </c>
    </row>
    <row r="91" spans="1:14" ht="24">
      <c r="A91" s="3003">
        <v>88</v>
      </c>
      <c r="B91" s="3003" t="s">
        <v>3190</v>
      </c>
      <c r="C91" s="3004" t="s">
        <v>4047</v>
      </c>
      <c r="D91" s="3025" t="s">
        <v>4405</v>
      </c>
      <c r="E91" s="3008" t="s">
        <v>4406</v>
      </c>
      <c r="F91" s="3028">
        <v>52.1</v>
      </c>
      <c r="G91" s="3028">
        <v>6.67</v>
      </c>
      <c r="H91" s="3004" t="s">
        <v>1373</v>
      </c>
      <c r="I91" s="3007" t="s">
        <v>4336</v>
      </c>
      <c r="J91" s="3010">
        <f t="shared" si="9"/>
        <v>56156</v>
      </c>
      <c r="K91" s="3007" t="str">
        <f t="shared" si="10"/>
        <v xml:space="preserve">10层 </v>
      </c>
      <c r="L91" s="3007" t="str">
        <f t="shared" si="12"/>
        <v>7层</v>
      </c>
      <c r="N91" s="3002">
        <f t="shared" ca="1" si="8"/>
        <v>570703</v>
      </c>
    </row>
    <row r="92" spans="1:14" ht="24">
      <c r="A92" s="3003">
        <v>89</v>
      </c>
      <c r="B92" s="3003" t="s">
        <v>3191</v>
      </c>
      <c r="C92" s="3004" t="s">
        <v>4186</v>
      </c>
      <c r="D92" s="3025" t="s">
        <v>4407</v>
      </c>
      <c r="E92" s="3008" t="s">
        <v>4408</v>
      </c>
      <c r="F92" s="3028">
        <v>82.84</v>
      </c>
      <c r="G92" s="3028">
        <v>10.61</v>
      </c>
      <c r="H92" s="3004" t="s">
        <v>1373</v>
      </c>
      <c r="I92" s="3007" t="s">
        <v>4336</v>
      </c>
      <c r="J92" s="3010">
        <f t="shared" si="9"/>
        <v>56156</v>
      </c>
      <c r="K92" s="3007" t="str">
        <f t="shared" si="10"/>
        <v xml:space="preserve">10层 </v>
      </c>
      <c r="L92" s="3007" t="str">
        <f t="shared" si="12"/>
        <v>7层</v>
      </c>
      <c r="N92" s="3002">
        <f t="shared" ca="1" si="8"/>
        <v>907429</v>
      </c>
    </row>
    <row r="93" spans="1:14" ht="24">
      <c r="A93" s="3003">
        <v>90</v>
      </c>
      <c r="B93" s="3003" t="s">
        <v>3192</v>
      </c>
      <c r="C93" s="3004" t="s">
        <v>4186</v>
      </c>
      <c r="D93" s="3025" t="s">
        <v>4409</v>
      </c>
      <c r="E93" s="3008" t="s">
        <v>4410</v>
      </c>
      <c r="F93" s="3028">
        <v>82.84</v>
      </c>
      <c r="G93" s="3028">
        <v>10.61</v>
      </c>
      <c r="H93" s="3004" t="s">
        <v>1373</v>
      </c>
      <c r="I93" s="3007" t="s">
        <v>4286</v>
      </c>
      <c r="J93" s="3010">
        <f t="shared" si="9"/>
        <v>56156</v>
      </c>
      <c r="K93" s="3007" t="str">
        <f t="shared" si="10"/>
        <v xml:space="preserve">10层 </v>
      </c>
      <c r="L93" s="3007" t="str">
        <f t="shared" si="12"/>
        <v>7层</v>
      </c>
      <c r="N93" s="3002">
        <f t="shared" ca="1" si="8"/>
        <v>907429</v>
      </c>
    </row>
    <row r="94" spans="1:14" ht="24">
      <c r="A94" s="3003">
        <v>91</v>
      </c>
      <c r="B94" s="3003" t="s">
        <v>3193</v>
      </c>
      <c r="C94" s="3004" t="s">
        <v>4186</v>
      </c>
      <c r="D94" s="3025" t="s">
        <v>4411</v>
      </c>
      <c r="E94" s="3008" t="s">
        <v>4412</v>
      </c>
      <c r="F94" s="3028">
        <v>52.1</v>
      </c>
      <c r="G94" s="3028">
        <v>6.67</v>
      </c>
      <c r="H94" s="3004" t="s">
        <v>1373</v>
      </c>
      <c r="I94" s="3007" t="s">
        <v>4286</v>
      </c>
      <c r="J94" s="3010">
        <f t="shared" si="9"/>
        <v>56156</v>
      </c>
      <c r="K94" s="3007" t="str">
        <f t="shared" si="10"/>
        <v xml:space="preserve">10层 </v>
      </c>
      <c r="L94" s="3007" t="str">
        <f t="shared" si="12"/>
        <v>7层</v>
      </c>
      <c r="N94" s="3002">
        <f t="shared" ca="1" si="8"/>
        <v>570703</v>
      </c>
    </row>
    <row r="95" spans="1:14" ht="24">
      <c r="A95" s="3003">
        <v>92</v>
      </c>
      <c r="B95" s="3003" t="s">
        <v>3194</v>
      </c>
      <c r="C95" s="3004" t="s">
        <v>4047</v>
      </c>
      <c r="D95" s="3025" t="s">
        <v>4413</v>
      </c>
      <c r="E95" s="3008" t="s">
        <v>4414</v>
      </c>
      <c r="F95" s="3028">
        <v>65.89</v>
      </c>
      <c r="G95" s="3028">
        <v>8.44</v>
      </c>
      <c r="H95" s="3004" t="s">
        <v>1373</v>
      </c>
      <c r="I95" s="3007" t="s">
        <v>4336</v>
      </c>
      <c r="J95" s="3010">
        <f t="shared" si="9"/>
        <v>56156</v>
      </c>
      <c r="K95" s="3007" t="str">
        <f t="shared" si="10"/>
        <v xml:space="preserve">10层 </v>
      </c>
      <c r="L95" s="3007" t="str">
        <f t="shared" si="12"/>
        <v>7层</v>
      </c>
      <c r="N95" s="3002">
        <f t="shared" ca="1" si="8"/>
        <v>721759</v>
      </c>
    </row>
    <row r="96" spans="1:14" ht="24">
      <c r="A96" s="3003">
        <v>93</v>
      </c>
      <c r="B96" s="3003" t="s">
        <v>3195</v>
      </c>
      <c r="C96" s="3004" t="s">
        <v>4280</v>
      </c>
      <c r="D96" s="3025" t="s">
        <v>4415</v>
      </c>
      <c r="E96" s="3008" t="s">
        <v>4416</v>
      </c>
      <c r="F96" s="3028">
        <v>53.28</v>
      </c>
      <c r="G96" s="3028">
        <v>6.82</v>
      </c>
      <c r="H96" s="3004" t="s">
        <v>1373</v>
      </c>
      <c r="I96" s="3007" t="s">
        <v>4283</v>
      </c>
      <c r="J96" s="3010">
        <f t="shared" si="9"/>
        <v>56156</v>
      </c>
      <c r="K96" s="3007" t="str">
        <f t="shared" si="10"/>
        <v xml:space="preserve">10层 </v>
      </c>
      <c r="L96" s="3007" t="str">
        <f t="shared" si="12"/>
        <v>7层</v>
      </c>
      <c r="N96" s="3002">
        <f t="shared" ca="1" si="8"/>
        <v>583629</v>
      </c>
    </row>
    <row r="97" spans="1:14" ht="24">
      <c r="A97" s="3003">
        <v>94</v>
      </c>
      <c r="B97" s="3003" t="s">
        <v>3196</v>
      </c>
      <c r="C97" s="3004" t="s">
        <v>3999</v>
      </c>
      <c r="D97" s="3025" t="s">
        <v>4417</v>
      </c>
      <c r="E97" s="3008" t="s">
        <v>4418</v>
      </c>
      <c r="F97" s="3028">
        <v>0</v>
      </c>
      <c r="G97" s="3028">
        <v>0</v>
      </c>
      <c r="H97" s="3004" t="s">
        <v>1373</v>
      </c>
      <c r="I97" s="3007" t="s">
        <v>4345</v>
      </c>
      <c r="J97" s="3010">
        <f t="shared" si="9"/>
        <v>56156</v>
      </c>
      <c r="K97" s="3007" t="str">
        <f t="shared" si="10"/>
        <v xml:space="preserve">10层 </v>
      </c>
      <c r="L97" s="3007" t="str">
        <f t="shared" si="12"/>
        <v>7层</v>
      </c>
      <c r="N97" s="3002">
        <f t="shared" ca="1" si="8"/>
        <v>0</v>
      </c>
    </row>
    <row r="98" spans="1:14" ht="24">
      <c r="A98" s="3003">
        <v>95</v>
      </c>
      <c r="B98" s="3003" t="s">
        <v>3197</v>
      </c>
      <c r="C98" s="3004" t="s">
        <v>3993</v>
      </c>
      <c r="D98" s="3025" t="s">
        <v>4419</v>
      </c>
      <c r="E98" s="3008" t="s">
        <v>4420</v>
      </c>
      <c r="F98" s="3028">
        <v>0</v>
      </c>
      <c r="G98" s="3028">
        <v>0</v>
      </c>
      <c r="H98" s="3004" t="s">
        <v>1373</v>
      </c>
      <c r="I98" s="3007" t="s">
        <v>4291</v>
      </c>
      <c r="J98" s="3010">
        <f t="shared" si="9"/>
        <v>56156</v>
      </c>
      <c r="K98" s="3007" t="str">
        <f t="shared" si="10"/>
        <v xml:space="preserve">10层 </v>
      </c>
      <c r="L98" s="3007" t="str">
        <f t="shared" si="12"/>
        <v>7层</v>
      </c>
      <c r="N98" s="3002">
        <f t="shared" ca="1" si="8"/>
        <v>0</v>
      </c>
    </row>
    <row r="99" spans="1:14" ht="24">
      <c r="A99" s="3003">
        <v>96</v>
      </c>
      <c r="B99" s="3003" t="s">
        <v>3198</v>
      </c>
      <c r="C99" s="3004" t="s">
        <v>4280</v>
      </c>
      <c r="D99" s="3025" t="s">
        <v>4421</v>
      </c>
      <c r="E99" s="3008" t="s">
        <v>4422</v>
      </c>
      <c r="F99" s="3028">
        <v>72.569999999999993</v>
      </c>
      <c r="G99" s="3028">
        <v>9.3000000000000007</v>
      </c>
      <c r="H99" s="3004" t="s">
        <v>1373</v>
      </c>
      <c r="I99" s="3007" t="s">
        <v>4291</v>
      </c>
      <c r="J99" s="3010">
        <f t="shared" si="9"/>
        <v>56156</v>
      </c>
      <c r="K99" s="3007" t="str">
        <f t="shared" si="10"/>
        <v xml:space="preserve">10层 </v>
      </c>
      <c r="L99" s="3007" t="str">
        <f t="shared" si="12"/>
        <v>7层</v>
      </c>
      <c r="N99" s="3002">
        <f t="shared" ca="1" si="8"/>
        <v>794932</v>
      </c>
    </row>
    <row r="100" spans="1:14" ht="24">
      <c r="A100" s="3003">
        <v>97</v>
      </c>
      <c r="B100" s="3003" t="s">
        <v>3206</v>
      </c>
      <c r="C100" s="3004" t="s">
        <v>4280</v>
      </c>
      <c r="D100" s="3025" t="s">
        <v>4423</v>
      </c>
      <c r="E100" s="3008" t="s">
        <v>4424</v>
      </c>
      <c r="F100" s="3028">
        <v>68.989999999999995</v>
      </c>
      <c r="G100" s="3028">
        <v>8.84</v>
      </c>
      <c r="H100" s="3004" t="s">
        <v>1373</v>
      </c>
      <c r="I100" s="3007" t="s">
        <v>4283</v>
      </c>
      <c r="J100" s="3010">
        <f t="shared" si="9"/>
        <v>56156</v>
      </c>
      <c r="K100" s="3007" t="str">
        <f t="shared" si="10"/>
        <v xml:space="preserve">10层 </v>
      </c>
      <c r="L100" s="3007" t="s">
        <v>4425</v>
      </c>
      <c r="N100" s="3002">
        <f t="shared" ca="1" si="8"/>
        <v>755716</v>
      </c>
    </row>
    <row r="101" spans="1:14" ht="24">
      <c r="A101" s="3003">
        <v>98</v>
      </c>
      <c r="B101" s="3003" t="s">
        <v>3207</v>
      </c>
      <c r="C101" s="3004" t="s">
        <v>4186</v>
      </c>
      <c r="D101" s="3025" t="s">
        <v>4426</v>
      </c>
      <c r="E101" s="3008" t="s">
        <v>4427</v>
      </c>
      <c r="F101" s="3028">
        <v>53.3</v>
      </c>
      <c r="G101" s="3028">
        <v>6.83</v>
      </c>
      <c r="H101" s="3004" t="s">
        <v>1373</v>
      </c>
      <c r="I101" s="3007" t="s">
        <v>4286</v>
      </c>
      <c r="J101" s="3010">
        <f t="shared" si="9"/>
        <v>56156</v>
      </c>
      <c r="K101" s="3007" t="str">
        <f t="shared" si="10"/>
        <v xml:space="preserve">10层 </v>
      </c>
      <c r="L101" s="3007" t="str">
        <f>L100</f>
        <v>8层</v>
      </c>
      <c r="N101" s="3002">
        <f t="shared" ca="1" si="8"/>
        <v>583848</v>
      </c>
    </row>
    <row r="102" spans="1:14" ht="24">
      <c r="A102" s="3003">
        <v>99</v>
      </c>
      <c r="B102" s="3003" t="s">
        <v>3208</v>
      </c>
      <c r="C102" s="3004" t="s">
        <v>3431</v>
      </c>
      <c r="D102" s="3025" t="s">
        <v>4428</v>
      </c>
      <c r="E102" s="3008" t="s">
        <v>4429</v>
      </c>
      <c r="F102" s="3028">
        <v>53.18</v>
      </c>
      <c r="G102" s="3028">
        <v>6.81</v>
      </c>
      <c r="H102" s="3004" t="s">
        <v>1373</v>
      </c>
      <c r="I102" s="3007" t="s">
        <v>3443</v>
      </c>
      <c r="J102" s="3010">
        <f t="shared" si="9"/>
        <v>56156</v>
      </c>
      <c r="K102" s="3007" t="str">
        <f t="shared" si="10"/>
        <v xml:space="preserve">10层 </v>
      </c>
      <c r="L102" s="3007" t="str">
        <f t="shared" ref="L102:L113" si="13">L101</f>
        <v>8层</v>
      </c>
      <c r="N102" s="3002">
        <f t="shared" ca="1" si="8"/>
        <v>582534</v>
      </c>
    </row>
    <row r="103" spans="1:14" ht="24">
      <c r="A103" s="3003">
        <v>100</v>
      </c>
      <c r="B103" s="3003" t="s">
        <v>3209</v>
      </c>
      <c r="C103" s="3004" t="s">
        <v>4005</v>
      </c>
      <c r="D103" s="3025" t="s">
        <v>4430</v>
      </c>
      <c r="E103" s="3008" t="s">
        <v>4431</v>
      </c>
      <c r="F103" s="3028">
        <v>53.55</v>
      </c>
      <c r="G103" s="3028">
        <v>6.86</v>
      </c>
      <c r="H103" s="3004" t="s">
        <v>1373</v>
      </c>
      <c r="I103" s="3007" t="s">
        <v>4432</v>
      </c>
      <c r="J103" s="3010">
        <f t="shared" si="9"/>
        <v>56156</v>
      </c>
      <c r="K103" s="3007" t="str">
        <f t="shared" si="10"/>
        <v xml:space="preserve">10层 </v>
      </c>
      <c r="L103" s="3007" t="str">
        <f t="shared" si="13"/>
        <v>8层</v>
      </c>
      <c r="N103" s="3002">
        <f t="shared" ca="1" si="8"/>
        <v>586587</v>
      </c>
    </row>
    <row r="104" spans="1:14" ht="24">
      <c r="A104" s="3003">
        <v>101</v>
      </c>
      <c r="B104" s="3003" t="s">
        <v>3210</v>
      </c>
      <c r="C104" s="3004" t="s">
        <v>4433</v>
      </c>
      <c r="D104" s="3025" t="s">
        <v>4434</v>
      </c>
      <c r="E104" s="3008" t="s">
        <v>4435</v>
      </c>
      <c r="F104" s="3028">
        <v>66.23</v>
      </c>
      <c r="G104" s="3028">
        <v>8.48</v>
      </c>
      <c r="H104" s="3004" t="s">
        <v>1373</v>
      </c>
      <c r="I104" s="3007" t="s">
        <v>4436</v>
      </c>
      <c r="J104" s="3010">
        <f t="shared" si="9"/>
        <v>56156</v>
      </c>
      <c r="K104" s="3007" t="str">
        <f t="shared" si="10"/>
        <v xml:space="preserve">10层 </v>
      </c>
      <c r="L104" s="3007" t="str">
        <f t="shared" si="13"/>
        <v>8层</v>
      </c>
      <c r="N104" s="3002">
        <f t="shared" ca="1" si="8"/>
        <v>725483</v>
      </c>
    </row>
    <row r="105" spans="1:14" ht="24">
      <c r="A105" s="3003">
        <v>102</v>
      </c>
      <c r="B105" s="3003" t="s">
        <v>3211</v>
      </c>
      <c r="C105" s="3004" t="s">
        <v>4186</v>
      </c>
      <c r="D105" s="3025" t="s">
        <v>4437</v>
      </c>
      <c r="E105" s="3008" t="s">
        <v>4438</v>
      </c>
      <c r="F105" s="3028">
        <v>44.98</v>
      </c>
      <c r="G105" s="3028">
        <v>5.76</v>
      </c>
      <c r="H105" s="3004" t="s">
        <v>1373</v>
      </c>
      <c r="I105" s="3007" t="s">
        <v>4286</v>
      </c>
      <c r="J105" s="3010">
        <f t="shared" si="9"/>
        <v>56156</v>
      </c>
      <c r="K105" s="3007" t="str">
        <f t="shared" si="10"/>
        <v xml:space="preserve">10层 </v>
      </c>
      <c r="L105" s="3007" t="str">
        <f t="shared" si="13"/>
        <v>8层</v>
      </c>
      <c r="N105" s="3002">
        <f t="shared" ca="1" si="8"/>
        <v>492711</v>
      </c>
    </row>
    <row r="106" spans="1:14" ht="24">
      <c r="A106" s="3003">
        <v>103</v>
      </c>
      <c r="B106" s="3003" t="s">
        <v>3212</v>
      </c>
      <c r="C106" s="3004" t="s">
        <v>4354</v>
      </c>
      <c r="D106" s="3025" t="s">
        <v>4439</v>
      </c>
      <c r="E106" s="3008" t="s">
        <v>4440</v>
      </c>
      <c r="F106" s="3028">
        <v>58.19</v>
      </c>
      <c r="G106" s="3028">
        <v>7.45</v>
      </c>
      <c r="H106" s="3004" t="s">
        <v>1373</v>
      </c>
      <c r="I106" s="3007" t="s">
        <v>4357</v>
      </c>
      <c r="J106" s="3010">
        <f t="shared" si="9"/>
        <v>56156</v>
      </c>
      <c r="K106" s="3007" t="str">
        <f t="shared" si="10"/>
        <v xml:space="preserve">10层 </v>
      </c>
      <c r="L106" s="3007" t="str">
        <f t="shared" si="13"/>
        <v>8层</v>
      </c>
      <c r="N106" s="3002">
        <f t="shared" ca="1" si="8"/>
        <v>637413</v>
      </c>
    </row>
    <row r="107" spans="1:14" ht="24">
      <c r="A107" s="3003">
        <v>104</v>
      </c>
      <c r="B107" s="3003" t="s">
        <v>3213</v>
      </c>
      <c r="C107" s="3004" t="s">
        <v>4047</v>
      </c>
      <c r="D107" s="3025" t="s">
        <v>4441</v>
      </c>
      <c r="E107" s="3008" t="s">
        <v>4442</v>
      </c>
      <c r="F107" s="3028">
        <v>58.19</v>
      </c>
      <c r="G107" s="3028">
        <v>7.45</v>
      </c>
      <c r="H107" s="3004" t="s">
        <v>1373</v>
      </c>
      <c r="I107" s="3007" t="s">
        <v>4336</v>
      </c>
      <c r="J107" s="3010">
        <f t="shared" si="9"/>
        <v>56156</v>
      </c>
      <c r="K107" s="3007" t="str">
        <f t="shared" si="10"/>
        <v xml:space="preserve">10层 </v>
      </c>
      <c r="L107" s="3007" t="str">
        <f t="shared" si="13"/>
        <v>8层</v>
      </c>
      <c r="N107" s="3002">
        <f t="shared" ca="1" si="8"/>
        <v>637413</v>
      </c>
    </row>
    <row r="108" spans="1:14" ht="24">
      <c r="A108" s="3003">
        <v>105</v>
      </c>
      <c r="B108" s="3003" t="s">
        <v>3214</v>
      </c>
      <c r="C108" s="3004" t="s">
        <v>4047</v>
      </c>
      <c r="D108" s="3025" t="s">
        <v>4443</v>
      </c>
      <c r="E108" s="3008" t="s">
        <v>4444</v>
      </c>
      <c r="F108" s="3028">
        <v>44.98</v>
      </c>
      <c r="G108" s="3028">
        <v>5.76</v>
      </c>
      <c r="H108" s="3004" t="s">
        <v>1373</v>
      </c>
      <c r="I108" s="3007" t="s">
        <v>4336</v>
      </c>
      <c r="J108" s="3010">
        <f t="shared" si="9"/>
        <v>56156</v>
      </c>
      <c r="K108" s="3007" t="str">
        <f t="shared" si="10"/>
        <v xml:space="preserve">10层 </v>
      </c>
      <c r="L108" s="3007" t="str">
        <f t="shared" si="13"/>
        <v>8层</v>
      </c>
      <c r="N108" s="3002">
        <f t="shared" ca="1" si="8"/>
        <v>492711</v>
      </c>
    </row>
    <row r="109" spans="1:14" ht="24">
      <c r="A109" s="3003">
        <v>106</v>
      </c>
      <c r="B109" s="3003" t="s">
        <v>3215</v>
      </c>
      <c r="C109" s="3004" t="s">
        <v>4317</v>
      </c>
      <c r="D109" s="3025" t="s">
        <v>4445</v>
      </c>
      <c r="E109" s="3008" t="s">
        <v>4446</v>
      </c>
      <c r="F109" s="3028">
        <v>66.23</v>
      </c>
      <c r="G109" s="3028">
        <v>8.48</v>
      </c>
      <c r="H109" s="3004" t="s">
        <v>1373</v>
      </c>
      <c r="I109" s="3007" t="s">
        <v>4320</v>
      </c>
      <c r="J109" s="3010">
        <f t="shared" si="9"/>
        <v>56156</v>
      </c>
      <c r="K109" s="3007" t="str">
        <f t="shared" si="10"/>
        <v xml:space="preserve">10层 </v>
      </c>
      <c r="L109" s="3007" t="str">
        <f t="shared" si="13"/>
        <v>8层</v>
      </c>
      <c r="N109" s="3002">
        <f t="shared" ca="1" si="8"/>
        <v>725483</v>
      </c>
    </row>
    <row r="110" spans="1:14" ht="24">
      <c r="A110" s="3003">
        <v>107</v>
      </c>
      <c r="B110" s="3003" t="s">
        <v>3216</v>
      </c>
      <c r="C110" s="3004" t="s">
        <v>4317</v>
      </c>
      <c r="D110" s="3025" t="s">
        <v>4447</v>
      </c>
      <c r="E110" s="3008" t="s">
        <v>4448</v>
      </c>
      <c r="F110" s="3028">
        <v>53.55</v>
      </c>
      <c r="G110" s="3028">
        <v>6.86</v>
      </c>
      <c r="H110" s="3004" t="s">
        <v>1373</v>
      </c>
      <c r="I110" s="3007" t="s">
        <v>4320</v>
      </c>
      <c r="J110" s="3010">
        <f t="shared" si="9"/>
        <v>56156</v>
      </c>
      <c r="K110" s="3007" t="str">
        <f t="shared" si="10"/>
        <v xml:space="preserve">10层 </v>
      </c>
      <c r="L110" s="3007" t="str">
        <f t="shared" si="13"/>
        <v>8层</v>
      </c>
      <c r="N110" s="3002">
        <f t="shared" ca="1" si="8"/>
        <v>586587</v>
      </c>
    </row>
    <row r="111" spans="1:14" ht="24">
      <c r="A111" s="3003">
        <v>108</v>
      </c>
      <c r="B111" s="3003" t="s">
        <v>3217</v>
      </c>
      <c r="C111" s="3004" t="s">
        <v>4449</v>
      </c>
      <c r="D111" s="3025" t="s">
        <v>4450</v>
      </c>
      <c r="E111" s="3008" t="s">
        <v>4451</v>
      </c>
      <c r="F111" s="3028">
        <v>53.18</v>
      </c>
      <c r="G111" s="3028">
        <v>6.81</v>
      </c>
      <c r="H111" s="3004" t="s">
        <v>1373</v>
      </c>
      <c r="I111" s="3007" t="s">
        <v>4452</v>
      </c>
      <c r="J111" s="3010">
        <f t="shared" si="9"/>
        <v>56156</v>
      </c>
      <c r="K111" s="3007" t="str">
        <f t="shared" si="10"/>
        <v xml:space="preserve">10层 </v>
      </c>
      <c r="L111" s="3007" t="str">
        <f t="shared" si="13"/>
        <v>8层</v>
      </c>
      <c r="N111" s="3002">
        <f t="shared" ca="1" si="8"/>
        <v>582534</v>
      </c>
    </row>
    <row r="112" spans="1:14" ht="24">
      <c r="A112" s="3003">
        <v>109</v>
      </c>
      <c r="B112" s="3003" t="s">
        <v>3218</v>
      </c>
      <c r="C112" s="3004" t="s">
        <v>4264</v>
      </c>
      <c r="D112" s="3025" t="s">
        <v>4453</v>
      </c>
      <c r="E112" s="3008" t="s">
        <v>4454</v>
      </c>
      <c r="F112" s="3028">
        <v>53.3</v>
      </c>
      <c r="G112" s="3028">
        <v>6.83</v>
      </c>
      <c r="H112" s="3004" t="s">
        <v>1373</v>
      </c>
      <c r="I112" s="3007" t="s">
        <v>4267</v>
      </c>
      <c r="J112" s="3010">
        <f t="shared" si="9"/>
        <v>56156</v>
      </c>
      <c r="K112" s="3007" t="str">
        <f t="shared" si="10"/>
        <v xml:space="preserve">10层 </v>
      </c>
      <c r="L112" s="3007" t="str">
        <f t="shared" si="13"/>
        <v>8层</v>
      </c>
      <c r="N112" s="3002">
        <f t="shared" ca="1" si="8"/>
        <v>583848</v>
      </c>
    </row>
    <row r="113" spans="1:14" ht="24">
      <c r="A113" s="3003">
        <v>110</v>
      </c>
      <c r="B113" s="3003" t="s">
        <v>3219</v>
      </c>
      <c r="C113" s="3004" t="s">
        <v>3999</v>
      </c>
      <c r="D113" s="3025" t="s">
        <v>4455</v>
      </c>
      <c r="E113" s="3008" t="s">
        <v>4456</v>
      </c>
      <c r="F113" s="3028">
        <v>72.94</v>
      </c>
      <c r="G113" s="3028">
        <v>9.34</v>
      </c>
      <c r="H113" s="3004" t="s">
        <v>1373</v>
      </c>
      <c r="I113" s="3007" t="s">
        <v>4345</v>
      </c>
      <c r="J113" s="3010">
        <f t="shared" si="9"/>
        <v>56156</v>
      </c>
      <c r="K113" s="3007" t="str">
        <f t="shared" si="10"/>
        <v xml:space="preserve">10层 </v>
      </c>
      <c r="L113" s="3007" t="str">
        <f t="shared" si="13"/>
        <v>8层</v>
      </c>
      <c r="N113" s="3002">
        <f t="shared" ca="1" si="8"/>
        <v>798985</v>
      </c>
    </row>
    <row r="114" spans="1:14" ht="24">
      <c r="A114" s="3003">
        <v>111</v>
      </c>
      <c r="B114" s="3003" t="s">
        <v>3227</v>
      </c>
      <c r="C114" s="3004" t="s">
        <v>4354</v>
      </c>
      <c r="D114" s="3025" t="s">
        <v>4457</v>
      </c>
      <c r="E114" s="3008" t="s">
        <v>4458</v>
      </c>
      <c r="F114" s="3028">
        <v>70.180000000000007</v>
      </c>
      <c r="G114" s="3028">
        <v>8.99</v>
      </c>
      <c r="H114" s="3004" t="s">
        <v>1373</v>
      </c>
      <c r="I114" s="3007" t="s">
        <v>4357</v>
      </c>
      <c r="J114" s="3010">
        <f t="shared" si="9"/>
        <v>56156</v>
      </c>
      <c r="K114" s="3007" t="str">
        <f t="shared" si="10"/>
        <v xml:space="preserve">10层 </v>
      </c>
      <c r="L114" s="3007" t="s">
        <v>4459</v>
      </c>
      <c r="N114" s="3002">
        <f t="shared" ca="1" si="8"/>
        <v>768752</v>
      </c>
    </row>
    <row r="115" spans="1:14" ht="24">
      <c r="A115" s="3003">
        <v>112</v>
      </c>
      <c r="B115" s="3003" t="s">
        <v>3228</v>
      </c>
      <c r="C115" s="3004" t="s">
        <v>4460</v>
      </c>
      <c r="D115" s="3025" t="s">
        <v>4461</v>
      </c>
      <c r="E115" s="3008" t="s">
        <v>4462</v>
      </c>
      <c r="F115" s="3028">
        <v>54.22</v>
      </c>
      <c r="G115" s="3028">
        <v>6.94</v>
      </c>
      <c r="H115" s="3004" t="s">
        <v>1373</v>
      </c>
      <c r="I115" s="3007" t="s">
        <v>4463</v>
      </c>
      <c r="J115" s="3010">
        <f t="shared" si="9"/>
        <v>56156</v>
      </c>
      <c r="K115" s="3007" t="str">
        <f t="shared" si="10"/>
        <v xml:space="preserve">10层 </v>
      </c>
      <c r="L115" s="3007" t="str">
        <f>L114</f>
        <v>9层</v>
      </c>
      <c r="N115" s="3002">
        <f t="shared" ca="1" si="8"/>
        <v>593926</v>
      </c>
    </row>
    <row r="116" spans="1:14" ht="24">
      <c r="A116" s="3003">
        <v>113</v>
      </c>
      <c r="B116" s="3003" t="s">
        <v>3229</v>
      </c>
      <c r="C116" s="3004" t="s">
        <v>3431</v>
      </c>
      <c r="D116" s="3025" t="s">
        <v>4464</v>
      </c>
      <c r="E116" s="3008" t="s">
        <v>4465</v>
      </c>
      <c r="F116" s="3028">
        <v>54.1</v>
      </c>
      <c r="G116" s="3028">
        <v>6.93</v>
      </c>
      <c r="H116" s="3004" t="s">
        <v>1373</v>
      </c>
      <c r="I116" s="3007" t="s">
        <v>3443</v>
      </c>
      <c r="J116" s="3010">
        <f t="shared" si="9"/>
        <v>56156</v>
      </c>
      <c r="K116" s="3007" t="str">
        <f t="shared" si="10"/>
        <v xml:space="preserve">10层 </v>
      </c>
      <c r="L116" s="3007" t="str">
        <f t="shared" ref="L116:L126" si="14">L115</f>
        <v>9层</v>
      </c>
      <c r="N116" s="3002">
        <f t="shared" ca="1" si="8"/>
        <v>592611</v>
      </c>
    </row>
    <row r="117" spans="1:14" ht="24">
      <c r="A117" s="3003">
        <v>114</v>
      </c>
      <c r="B117" s="3003" t="s">
        <v>3230</v>
      </c>
      <c r="C117" s="3004" t="s">
        <v>4047</v>
      </c>
      <c r="D117" s="3025" t="s">
        <v>4466</v>
      </c>
      <c r="E117" s="3008" t="s">
        <v>4467</v>
      </c>
      <c r="F117" s="3028">
        <v>54.61</v>
      </c>
      <c r="G117" s="3028">
        <v>6.99</v>
      </c>
      <c r="H117" s="3004" t="s">
        <v>1373</v>
      </c>
      <c r="I117" s="3007" t="s">
        <v>4336</v>
      </c>
      <c r="J117" s="3010">
        <f t="shared" si="9"/>
        <v>56156</v>
      </c>
      <c r="K117" s="3007" t="str">
        <f t="shared" si="10"/>
        <v xml:space="preserve">10层 </v>
      </c>
      <c r="L117" s="3007" t="str">
        <f t="shared" si="14"/>
        <v>9层</v>
      </c>
      <c r="N117" s="3002">
        <f t="shared" ca="1" si="8"/>
        <v>598198</v>
      </c>
    </row>
    <row r="118" spans="1:14" ht="24">
      <c r="A118" s="3003">
        <v>115</v>
      </c>
      <c r="B118" s="3003" t="s">
        <v>3231</v>
      </c>
      <c r="C118" s="3004" t="s">
        <v>3840</v>
      </c>
      <c r="D118" s="3025" t="s">
        <v>4468</v>
      </c>
      <c r="E118" s="3008" t="s">
        <v>4469</v>
      </c>
      <c r="F118" s="3028">
        <v>61.66</v>
      </c>
      <c r="G118" s="3028">
        <v>7.9</v>
      </c>
      <c r="H118" s="3004" t="s">
        <v>1373</v>
      </c>
      <c r="I118" s="3007" t="s">
        <v>3843</v>
      </c>
      <c r="J118" s="3010">
        <f t="shared" si="9"/>
        <v>56156</v>
      </c>
      <c r="K118" s="3007" t="str">
        <f t="shared" si="10"/>
        <v xml:space="preserve">10层 </v>
      </c>
      <c r="L118" s="3007" t="str">
        <f t="shared" si="14"/>
        <v>9层</v>
      </c>
      <c r="N118" s="3002">
        <f t="shared" ca="1" si="8"/>
        <v>675424</v>
      </c>
    </row>
    <row r="119" spans="1:14" ht="24">
      <c r="A119" s="3003">
        <v>116</v>
      </c>
      <c r="B119" s="3003" t="s">
        <v>3232</v>
      </c>
      <c r="C119" s="3004" t="s">
        <v>3996</v>
      </c>
      <c r="D119" s="3025" t="s">
        <v>4470</v>
      </c>
      <c r="E119" s="3008" t="s">
        <v>4471</v>
      </c>
      <c r="F119" s="3028">
        <v>0</v>
      </c>
      <c r="G119" s="3028">
        <v>0</v>
      </c>
      <c r="H119" s="3004" t="s">
        <v>1373</v>
      </c>
      <c r="I119" s="3007" t="s">
        <v>4472</v>
      </c>
      <c r="J119" s="3010">
        <f t="shared" si="9"/>
        <v>56156</v>
      </c>
      <c r="K119" s="3007" t="str">
        <f t="shared" si="10"/>
        <v xml:space="preserve">10层 </v>
      </c>
      <c r="L119" s="3007" t="str">
        <f t="shared" si="14"/>
        <v>9层</v>
      </c>
      <c r="N119" s="3002">
        <f t="shared" ca="1" si="8"/>
        <v>0</v>
      </c>
    </row>
    <row r="120" spans="1:14" ht="24">
      <c r="A120" s="3003">
        <v>117</v>
      </c>
      <c r="B120" s="3003" t="s">
        <v>3233</v>
      </c>
      <c r="C120" s="3004" t="s">
        <v>3621</v>
      </c>
      <c r="D120" s="3025" t="s">
        <v>4473</v>
      </c>
      <c r="E120" s="3008" t="s">
        <v>4474</v>
      </c>
      <c r="F120" s="3028">
        <v>56.09</v>
      </c>
      <c r="G120" s="3028">
        <v>7.18</v>
      </c>
      <c r="H120" s="3004" t="s">
        <v>1373</v>
      </c>
      <c r="I120" s="3007" t="s">
        <v>3665</v>
      </c>
      <c r="J120" s="3010">
        <f t="shared" si="9"/>
        <v>56156</v>
      </c>
      <c r="K120" s="3007" t="str">
        <f t="shared" si="10"/>
        <v xml:space="preserve">10层 </v>
      </c>
      <c r="L120" s="3007" t="str">
        <f t="shared" si="14"/>
        <v>9层</v>
      </c>
      <c r="N120" s="3002">
        <f t="shared" ca="1" si="8"/>
        <v>614410</v>
      </c>
    </row>
    <row r="121" spans="1:14" ht="24">
      <c r="A121" s="3003">
        <v>118</v>
      </c>
      <c r="B121" s="3003" t="s">
        <v>3234</v>
      </c>
      <c r="C121" s="3004" t="s">
        <v>4460</v>
      </c>
      <c r="D121" s="3025" t="s">
        <v>4475</v>
      </c>
      <c r="E121" s="3008" t="s">
        <v>4476</v>
      </c>
      <c r="F121" s="3028">
        <v>0</v>
      </c>
      <c r="G121" s="3028">
        <v>0</v>
      </c>
      <c r="H121" s="3004" t="s">
        <v>1373</v>
      </c>
      <c r="I121" s="3007" t="s">
        <v>4463</v>
      </c>
      <c r="J121" s="3010">
        <f t="shared" si="9"/>
        <v>56156</v>
      </c>
      <c r="K121" s="3007" t="str">
        <f t="shared" si="10"/>
        <v xml:space="preserve">10层 </v>
      </c>
      <c r="L121" s="3007" t="str">
        <f t="shared" si="14"/>
        <v>9层</v>
      </c>
      <c r="N121" s="3002">
        <f t="shared" ca="1" si="8"/>
        <v>0</v>
      </c>
    </row>
    <row r="122" spans="1:14" ht="24">
      <c r="A122" s="3003">
        <v>119</v>
      </c>
      <c r="B122" s="3003" t="s">
        <v>3235</v>
      </c>
      <c r="C122" s="3004" t="s">
        <v>4005</v>
      </c>
      <c r="D122" s="3025" t="s">
        <v>4477</v>
      </c>
      <c r="E122" s="3008" t="s">
        <v>4478</v>
      </c>
      <c r="F122" s="3028">
        <v>61.66</v>
      </c>
      <c r="G122" s="3028">
        <v>7.9</v>
      </c>
      <c r="H122" s="3004" t="s">
        <v>1373</v>
      </c>
      <c r="I122" s="3007" t="s">
        <v>4432</v>
      </c>
      <c r="J122" s="3010">
        <f t="shared" si="9"/>
        <v>56156</v>
      </c>
      <c r="K122" s="3007" t="str">
        <f t="shared" si="10"/>
        <v xml:space="preserve">10层 </v>
      </c>
      <c r="L122" s="3007" t="str">
        <f t="shared" si="14"/>
        <v>9层</v>
      </c>
      <c r="N122" s="3002">
        <f t="shared" ca="1" si="8"/>
        <v>675424</v>
      </c>
    </row>
    <row r="123" spans="1:14" ht="24">
      <c r="A123" s="3003">
        <v>120</v>
      </c>
      <c r="B123" s="3003" t="s">
        <v>3236</v>
      </c>
      <c r="C123" s="3004" t="s">
        <v>3840</v>
      </c>
      <c r="D123" s="3025" t="s">
        <v>4479</v>
      </c>
      <c r="E123" s="3008" t="s">
        <v>4480</v>
      </c>
      <c r="F123" s="3028">
        <v>54.61</v>
      </c>
      <c r="G123" s="3028">
        <v>6.99</v>
      </c>
      <c r="H123" s="3004" t="s">
        <v>1373</v>
      </c>
      <c r="I123" s="3007" t="s">
        <v>3843</v>
      </c>
      <c r="J123" s="3010">
        <f t="shared" si="9"/>
        <v>56156</v>
      </c>
      <c r="K123" s="3007" t="str">
        <f t="shared" si="10"/>
        <v xml:space="preserve">10层 </v>
      </c>
      <c r="L123" s="3007" t="str">
        <f t="shared" si="14"/>
        <v>9层</v>
      </c>
      <c r="N123" s="3002">
        <f t="shared" ca="1" si="8"/>
        <v>598198</v>
      </c>
    </row>
    <row r="124" spans="1:14" ht="24">
      <c r="A124" s="3003">
        <v>121</v>
      </c>
      <c r="B124" s="3003" t="s">
        <v>3237</v>
      </c>
      <c r="C124" s="3004" t="s">
        <v>3431</v>
      </c>
      <c r="D124" s="3025" t="s">
        <v>4481</v>
      </c>
      <c r="E124" s="3008" t="s">
        <v>4482</v>
      </c>
      <c r="F124" s="3028">
        <v>54.1</v>
      </c>
      <c r="G124" s="3028">
        <v>6.93</v>
      </c>
      <c r="H124" s="3004" t="s">
        <v>1373</v>
      </c>
      <c r="I124" s="3007" t="s">
        <v>3843</v>
      </c>
      <c r="J124" s="3010">
        <f t="shared" si="9"/>
        <v>56156</v>
      </c>
      <c r="K124" s="3007" t="str">
        <f t="shared" si="10"/>
        <v xml:space="preserve">10层 </v>
      </c>
      <c r="L124" s="3007" t="str">
        <f t="shared" si="14"/>
        <v>9层</v>
      </c>
      <c r="N124" s="3002">
        <f t="shared" ca="1" si="8"/>
        <v>592611</v>
      </c>
    </row>
    <row r="125" spans="1:14" ht="24">
      <c r="A125" s="3003">
        <v>122</v>
      </c>
      <c r="B125" s="3003" t="s">
        <v>3238</v>
      </c>
      <c r="C125" s="3004" t="s">
        <v>3431</v>
      </c>
      <c r="D125" s="3025" t="s">
        <v>4483</v>
      </c>
      <c r="E125" s="3008" t="s">
        <v>4484</v>
      </c>
      <c r="F125" s="3028">
        <v>54.22</v>
      </c>
      <c r="G125" s="3028">
        <v>6.94</v>
      </c>
      <c r="H125" s="3004" t="s">
        <v>1373</v>
      </c>
      <c r="I125" s="3007" t="s">
        <v>3843</v>
      </c>
      <c r="J125" s="3010">
        <f t="shared" si="9"/>
        <v>56156</v>
      </c>
      <c r="K125" s="3007" t="str">
        <f t="shared" si="10"/>
        <v xml:space="preserve">10层 </v>
      </c>
      <c r="L125" s="3007" t="str">
        <f t="shared" si="14"/>
        <v>9层</v>
      </c>
      <c r="N125" s="3002">
        <f t="shared" ca="1" si="8"/>
        <v>593926</v>
      </c>
    </row>
    <row r="126" spans="1:14" ht="24">
      <c r="A126" s="3003">
        <v>123</v>
      </c>
      <c r="B126" s="3003" t="s">
        <v>3239</v>
      </c>
      <c r="C126" s="3004" t="s">
        <v>3431</v>
      </c>
      <c r="D126" s="3025" t="s">
        <v>4485</v>
      </c>
      <c r="E126" s="3008" t="s">
        <v>4486</v>
      </c>
      <c r="F126" s="3028">
        <v>69.790000000000006</v>
      </c>
      <c r="G126" s="3028">
        <v>8.94</v>
      </c>
      <c r="H126" s="3004" t="s">
        <v>1373</v>
      </c>
      <c r="I126" s="3007" t="s">
        <v>3443</v>
      </c>
      <c r="J126" s="3010">
        <f t="shared" si="9"/>
        <v>56156</v>
      </c>
      <c r="K126" s="3007" t="str">
        <f t="shared" si="10"/>
        <v xml:space="preserve">10层 </v>
      </c>
      <c r="L126" s="3007" t="str">
        <f t="shared" si="14"/>
        <v>9层</v>
      </c>
      <c r="N126" s="3002">
        <f t="shared" ca="1" si="8"/>
        <v>764480</v>
      </c>
    </row>
    <row r="127" spans="1:14" ht="12.75" customHeight="1">
      <c r="A127" s="3383" t="s">
        <v>37</v>
      </c>
      <c r="B127" s="3383"/>
      <c r="C127" s="3383"/>
      <c r="D127" s="3383"/>
      <c r="E127" s="3383"/>
      <c r="F127" s="3028">
        <f>SUM(F4:F126)</f>
        <v>7397.6099999999988</v>
      </c>
      <c r="G127" s="3028">
        <f>SUM(G4:G126)</f>
        <v>947.49000000000024</v>
      </c>
      <c r="H127" s="3028"/>
      <c r="I127" s="3003"/>
      <c r="J127" s="3010"/>
      <c r="K127" s="3007"/>
      <c r="L127" s="3007"/>
      <c r="N127" s="3002">
        <f ca="1">SUM(N4:N126)</f>
        <v>81033420</v>
      </c>
    </row>
    <row r="129" spans="6:7">
      <c r="G129" s="3002">
        <v>967.69</v>
      </c>
    </row>
    <row r="130" spans="6:7">
      <c r="G130" s="3014"/>
    </row>
    <row r="131" spans="6:7">
      <c r="G131" s="3029">
        <f>G127-G129</f>
        <v>-20.199999999999818</v>
      </c>
    </row>
    <row r="132" spans="6:7">
      <c r="F132" s="3014"/>
      <c r="G132" s="3029"/>
    </row>
  </sheetData>
  <mergeCells count="3">
    <mergeCell ref="A1:L1"/>
    <mergeCell ref="A2:L2"/>
    <mergeCell ref="A127:E12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3"/>
  <sheetViews>
    <sheetView topLeftCell="B1" workbookViewId="0">
      <selection activeCell="N123" sqref="N123"/>
    </sheetView>
  </sheetViews>
  <sheetFormatPr defaultRowHeight="13.5"/>
  <cols>
    <col min="3" max="3" width="17.75" customWidth="1"/>
    <col min="4" max="4" width="23.625" customWidth="1"/>
    <col min="5" max="5" width="17.125" customWidth="1"/>
    <col min="14" max="14" width="9.5" bestFit="1" customWidth="1"/>
  </cols>
  <sheetData>
    <row r="1" spans="1:14" ht="14.25">
      <c r="A1" s="3381" t="s">
        <v>3912</v>
      </c>
      <c r="B1" s="3381"/>
      <c r="C1" s="3381"/>
      <c r="D1" s="3381"/>
      <c r="E1" s="3381"/>
      <c r="F1" s="3381"/>
      <c r="G1" s="3381"/>
      <c r="H1" s="3381"/>
      <c r="I1" s="3381"/>
      <c r="J1" s="3381"/>
      <c r="K1" s="3381"/>
      <c r="L1" s="3381"/>
    </row>
    <row r="2" spans="1:14">
      <c r="A2" s="3384" t="s">
        <v>3418</v>
      </c>
      <c r="B2" s="3384"/>
      <c r="C2" s="3384"/>
      <c r="D2" s="3384"/>
      <c r="E2" s="3384"/>
      <c r="F2" s="3384"/>
      <c r="G2" s="3384"/>
      <c r="H2" s="3384"/>
      <c r="I2" s="3384"/>
      <c r="J2" s="3384"/>
      <c r="K2" s="3384"/>
      <c r="L2" s="3384"/>
    </row>
    <row r="3" spans="1:14" ht="24">
      <c r="A3" s="3003" t="s">
        <v>3913</v>
      </c>
      <c r="B3" s="3004" t="s">
        <v>3914</v>
      </c>
      <c r="C3" s="3004" t="s">
        <v>3915</v>
      </c>
      <c r="D3" s="3004" t="s">
        <v>3916</v>
      </c>
      <c r="E3" s="3005" t="s">
        <v>3917</v>
      </c>
      <c r="F3" s="3006" t="s">
        <v>3918</v>
      </c>
      <c r="G3" s="3006" t="s">
        <v>3919</v>
      </c>
      <c r="H3" s="3004" t="s">
        <v>3426</v>
      </c>
      <c r="I3" s="3004" t="s">
        <v>3920</v>
      </c>
      <c r="J3" s="3007" t="s">
        <v>3921</v>
      </c>
      <c r="K3" s="3007" t="s">
        <v>3922</v>
      </c>
      <c r="L3" s="3007" t="s">
        <v>3923</v>
      </c>
      <c r="M3" s="3030" t="s">
        <v>4492</v>
      </c>
      <c r="N3" s="3030" t="s">
        <v>4491</v>
      </c>
    </row>
    <row r="4" spans="1:14" ht="24">
      <c r="A4" s="3015">
        <v>1</v>
      </c>
      <c r="B4" s="3016" t="s">
        <v>3059</v>
      </c>
      <c r="C4" s="3004" t="s">
        <v>3924</v>
      </c>
      <c r="D4" s="3007" t="s">
        <v>3925</v>
      </c>
      <c r="E4" s="3008" t="s">
        <v>3926</v>
      </c>
      <c r="F4" s="3017">
        <v>69.900000000000006</v>
      </c>
      <c r="G4" s="3017">
        <v>8.85</v>
      </c>
      <c r="H4" s="3016" t="s">
        <v>1373</v>
      </c>
      <c r="I4" s="3007" t="s">
        <v>3927</v>
      </c>
      <c r="J4" s="3010">
        <v>56156</v>
      </c>
      <c r="K4" s="3007" t="s">
        <v>3928</v>
      </c>
      <c r="L4" s="3007" t="s">
        <v>3929</v>
      </c>
      <c r="M4">
        <f ca="1">结果表!G20</f>
        <v>10474</v>
      </c>
      <c r="N4">
        <f ca="1">ROUND(F4*$M$4,0)</f>
        <v>732133</v>
      </c>
    </row>
    <row r="5" spans="1:14" ht="24">
      <c r="A5" s="3015">
        <v>2</v>
      </c>
      <c r="B5" s="3016">
        <v>102</v>
      </c>
      <c r="C5" s="3004" t="s">
        <v>3924</v>
      </c>
      <c r="D5" s="3007" t="s">
        <v>3930</v>
      </c>
      <c r="E5" s="3008" t="s">
        <v>3931</v>
      </c>
      <c r="F5" s="3017">
        <v>54.01</v>
      </c>
      <c r="G5" s="3017">
        <v>6.84</v>
      </c>
      <c r="H5" s="3016" t="s">
        <v>1373</v>
      </c>
      <c r="I5" s="3015" t="str">
        <f>I4</f>
        <v>旅游用地</v>
      </c>
      <c r="J5" s="3010">
        <f>$J$4</f>
        <v>56156</v>
      </c>
      <c r="K5" s="3007" t="str">
        <f>K4</f>
        <v xml:space="preserve">10层 </v>
      </c>
      <c r="L5" s="3007" t="str">
        <f>$L$4</f>
        <v>1层</v>
      </c>
      <c r="N5">
        <f t="shared" ref="N5:N68" ca="1" si="0">ROUND(F5*$M$4,0)</f>
        <v>565701</v>
      </c>
    </row>
    <row r="6" spans="1:14" ht="24">
      <c r="A6" s="3015">
        <v>3</v>
      </c>
      <c r="B6" s="3016" t="s">
        <v>3061</v>
      </c>
      <c r="C6" s="3004" t="s">
        <v>3431</v>
      </c>
      <c r="D6" s="3007" t="s">
        <v>3932</v>
      </c>
      <c r="E6" s="3008" t="s">
        <v>3933</v>
      </c>
      <c r="F6" s="3017">
        <v>53.89</v>
      </c>
      <c r="G6" s="3017">
        <v>6.82</v>
      </c>
      <c r="H6" s="3016" t="s">
        <v>1373</v>
      </c>
      <c r="I6" s="3015" t="str">
        <f t="shared" ref="I6:I69" si="1">I5</f>
        <v>旅游用地</v>
      </c>
      <c r="J6" s="3010">
        <f t="shared" ref="J6:J69" si="2">$J$4</f>
        <v>56156</v>
      </c>
      <c r="K6" s="3007" t="str">
        <f t="shared" ref="K6:L60" si="3">K5</f>
        <v xml:space="preserve">10层 </v>
      </c>
      <c r="L6" s="3007" t="str">
        <f t="shared" ref="L6:L15" si="4">$L$4</f>
        <v>1层</v>
      </c>
      <c r="N6">
        <f t="shared" ca="1" si="0"/>
        <v>564444</v>
      </c>
    </row>
    <row r="7" spans="1:14" ht="24">
      <c r="A7" s="3015">
        <v>4</v>
      </c>
      <c r="B7" s="3016" t="s">
        <v>3062</v>
      </c>
      <c r="C7" s="3004" t="s">
        <v>3934</v>
      </c>
      <c r="D7" s="3007" t="s">
        <v>3935</v>
      </c>
      <c r="E7" s="3008" t="s">
        <v>3936</v>
      </c>
      <c r="F7" s="3018">
        <v>54.27</v>
      </c>
      <c r="G7" s="3018">
        <v>6.87</v>
      </c>
      <c r="H7" s="3016" t="s">
        <v>1373</v>
      </c>
      <c r="I7" s="3015" t="str">
        <f t="shared" si="1"/>
        <v>旅游用地</v>
      </c>
      <c r="J7" s="3010">
        <f t="shared" si="2"/>
        <v>56156</v>
      </c>
      <c r="K7" s="3007" t="str">
        <f t="shared" si="3"/>
        <v xml:space="preserve">10层 </v>
      </c>
      <c r="L7" s="3007" t="str">
        <f t="shared" si="4"/>
        <v>1层</v>
      </c>
      <c r="N7">
        <f t="shared" ca="1" si="0"/>
        <v>568424</v>
      </c>
    </row>
    <row r="8" spans="1:14" ht="24">
      <c r="A8" s="3015">
        <v>5</v>
      </c>
      <c r="B8" s="3015" t="s">
        <v>3063</v>
      </c>
      <c r="C8" s="3004" t="s">
        <v>3431</v>
      </c>
      <c r="D8" s="3007" t="s">
        <v>3937</v>
      </c>
      <c r="E8" s="3008" t="s">
        <v>3938</v>
      </c>
      <c r="F8" s="3019">
        <v>67.11</v>
      </c>
      <c r="G8" s="3019">
        <v>8.5</v>
      </c>
      <c r="H8" s="3016" t="s">
        <v>1373</v>
      </c>
      <c r="I8" s="3015" t="str">
        <f t="shared" si="1"/>
        <v>旅游用地</v>
      </c>
      <c r="J8" s="3010">
        <f t="shared" si="2"/>
        <v>56156</v>
      </c>
      <c r="K8" s="3007" t="str">
        <f t="shared" si="3"/>
        <v xml:space="preserve">10层 </v>
      </c>
      <c r="L8" s="3007" t="str">
        <f t="shared" si="4"/>
        <v>1层</v>
      </c>
      <c r="N8">
        <f t="shared" ca="1" si="0"/>
        <v>702910</v>
      </c>
    </row>
    <row r="9" spans="1:14" ht="24">
      <c r="A9" s="3015">
        <v>6</v>
      </c>
      <c r="B9" s="3015" t="s">
        <v>3064</v>
      </c>
      <c r="C9" s="3004" t="s">
        <v>3431</v>
      </c>
      <c r="D9" s="3007" t="s">
        <v>3939</v>
      </c>
      <c r="E9" s="3008" t="s">
        <v>3940</v>
      </c>
      <c r="F9" s="3019">
        <v>57.22</v>
      </c>
      <c r="G9" s="3019">
        <v>7.25</v>
      </c>
      <c r="H9" s="3016" t="s">
        <v>1373</v>
      </c>
      <c r="I9" s="3015" t="str">
        <f t="shared" si="1"/>
        <v>旅游用地</v>
      </c>
      <c r="J9" s="3010">
        <f t="shared" si="2"/>
        <v>56156</v>
      </c>
      <c r="K9" s="3007" t="str">
        <f t="shared" si="3"/>
        <v xml:space="preserve">10层 </v>
      </c>
      <c r="L9" s="3007" t="str">
        <f t="shared" si="4"/>
        <v>1层</v>
      </c>
      <c r="N9">
        <f t="shared" ca="1" si="0"/>
        <v>599322</v>
      </c>
    </row>
    <row r="10" spans="1:14" ht="24">
      <c r="A10" s="3015">
        <v>7</v>
      </c>
      <c r="B10" s="3015" t="s">
        <v>3065</v>
      </c>
      <c r="C10" s="3004" t="s">
        <v>3431</v>
      </c>
      <c r="D10" s="3007" t="s">
        <v>3941</v>
      </c>
      <c r="E10" s="3008" t="s">
        <v>3942</v>
      </c>
      <c r="F10" s="3019">
        <v>96.76</v>
      </c>
      <c r="G10" s="3019">
        <v>12.25</v>
      </c>
      <c r="H10" s="3016" t="s">
        <v>1373</v>
      </c>
      <c r="I10" s="3015" t="str">
        <f t="shared" si="1"/>
        <v>旅游用地</v>
      </c>
      <c r="J10" s="3010">
        <f t="shared" si="2"/>
        <v>56156</v>
      </c>
      <c r="K10" s="3007" t="str">
        <f t="shared" si="3"/>
        <v xml:space="preserve">10层 </v>
      </c>
      <c r="L10" s="3007" t="str">
        <f t="shared" si="4"/>
        <v>1层</v>
      </c>
      <c r="N10">
        <f t="shared" ca="1" si="0"/>
        <v>1013464</v>
      </c>
    </row>
    <row r="11" spans="1:14" ht="24">
      <c r="A11" s="3015">
        <v>8</v>
      </c>
      <c r="B11" s="3015" t="s">
        <v>3066</v>
      </c>
      <c r="C11" s="3004" t="s">
        <v>3943</v>
      </c>
      <c r="D11" s="3007" t="s">
        <v>3944</v>
      </c>
      <c r="E11" s="3008" t="s">
        <v>3945</v>
      </c>
      <c r="F11" s="3019">
        <v>96.76</v>
      </c>
      <c r="G11" s="3019">
        <v>12.25</v>
      </c>
      <c r="H11" s="3016" t="s">
        <v>1373</v>
      </c>
      <c r="I11" s="3015" t="str">
        <f t="shared" si="1"/>
        <v>旅游用地</v>
      </c>
      <c r="J11" s="3010">
        <f t="shared" si="2"/>
        <v>56156</v>
      </c>
      <c r="K11" s="3007" t="str">
        <f t="shared" si="3"/>
        <v xml:space="preserve">10层 </v>
      </c>
      <c r="L11" s="3007" t="str">
        <f t="shared" si="4"/>
        <v>1层</v>
      </c>
      <c r="N11">
        <f t="shared" ca="1" si="0"/>
        <v>1013464</v>
      </c>
    </row>
    <row r="12" spans="1:14" ht="24">
      <c r="A12" s="3015">
        <v>9</v>
      </c>
      <c r="B12" s="3015" t="s">
        <v>3067</v>
      </c>
      <c r="C12" s="3004" t="s">
        <v>3431</v>
      </c>
      <c r="D12" s="3007" t="s">
        <v>3946</v>
      </c>
      <c r="E12" s="3008" t="s">
        <v>3947</v>
      </c>
      <c r="F12" s="3019">
        <v>57.22</v>
      </c>
      <c r="G12" s="3019">
        <v>7.25</v>
      </c>
      <c r="H12" s="3016" t="s">
        <v>1373</v>
      </c>
      <c r="I12" s="3015" t="str">
        <f t="shared" si="1"/>
        <v>旅游用地</v>
      </c>
      <c r="J12" s="3010">
        <f t="shared" si="2"/>
        <v>56156</v>
      </c>
      <c r="K12" s="3007" t="str">
        <f t="shared" si="3"/>
        <v xml:space="preserve">10层 </v>
      </c>
      <c r="L12" s="3007" t="str">
        <f t="shared" si="4"/>
        <v>1层</v>
      </c>
      <c r="N12">
        <f t="shared" ca="1" si="0"/>
        <v>599322</v>
      </c>
    </row>
    <row r="13" spans="1:14" ht="24">
      <c r="A13" s="3015">
        <v>10</v>
      </c>
      <c r="B13" s="3015" t="s">
        <v>3068</v>
      </c>
      <c r="C13" s="3004" t="s">
        <v>3431</v>
      </c>
      <c r="D13" s="3007" t="s">
        <v>3948</v>
      </c>
      <c r="E13" s="3008" t="s">
        <v>3949</v>
      </c>
      <c r="F13" s="3019">
        <v>67.150000000000006</v>
      </c>
      <c r="G13" s="3019">
        <v>8.5</v>
      </c>
      <c r="H13" s="3016" t="s">
        <v>1373</v>
      </c>
      <c r="I13" s="3015" t="str">
        <f t="shared" si="1"/>
        <v>旅游用地</v>
      </c>
      <c r="J13" s="3010">
        <f t="shared" si="2"/>
        <v>56156</v>
      </c>
      <c r="K13" s="3007" t="str">
        <f t="shared" si="3"/>
        <v xml:space="preserve">10层 </v>
      </c>
      <c r="L13" s="3007" t="str">
        <f t="shared" si="4"/>
        <v>1层</v>
      </c>
      <c r="N13">
        <f t="shared" ca="1" si="0"/>
        <v>703329</v>
      </c>
    </row>
    <row r="14" spans="1:14" ht="24">
      <c r="A14" s="3015">
        <v>11</v>
      </c>
      <c r="B14" s="3015" t="s">
        <v>3069</v>
      </c>
      <c r="C14" s="3004" t="s">
        <v>3431</v>
      </c>
      <c r="D14" s="3007" t="s">
        <v>3950</v>
      </c>
      <c r="E14" s="3008" t="s">
        <v>3951</v>
      </c>
      <c r="F14" s="3019">
        <v>54.01</v>
      </c>
      <c r="G14" s="3019">
        <v>6.84</v>
      </c>
      <c r="H14" s="3016" t="s">
        <v>1373</v>
      </c>
      <c r="I14" s="3015" t="str">
        <f t="shared" si="1"/>
        <v>旅游用地</v>
      </c>
      <c r="J14" s="3010">
        <f t="shared" si="2"/>
        <v>56156</v>
      </c>
      <c r="K14" s="3007" t="str">
        <f t="shared" si="3"/>
        <v xml:space="preserve">10层 </v>
      </c>
      <c r="L14" s="3007" t="str">
        <f t="shared" si="4"/>
        <v>1层</v>
      </c>
      <c r="N14">
        <f t="shared" ca="1" si="0"/>
        <v>565701</v>
      </c>
    </row>
    <row r="15" spans="1:14" ht="24">
      <c r="A15" s="3015">
        <v>12</v>
      </c>
      <c r="B15" s="3015" t="s">
        <v>3070</v>
      </c>
      <c r="C15" s="3004" t="s">
        <v>3431</v>
      </c>
      <c r="D15" s="3007" t="s">
        <v>3952</v>
      </c>
      <c r="E15" s="3008" t="s">
        <v>3953</v>
      </c>
      <c r="F15" s="3019">
        <v>73.91</v>
      </c>
      <c r="G15" s="3019">
        <v>9.36</v>
      </c>
      <c r="H15" s="3016" t="s">
        <v>1373</v>
      </c>
      <c r="I15" s="3015" t="str">
        <f t="shared" si="1"/>
        <v>旅游用地</v>
      </c>
      <c r="J15" s="3010">
        <f t="shared" si="2"/>
        <v>56156</v>
      </c>
      <c r="K15" s="3007" t="str">
        <f t="shared" si="3"/>
        <v xml:space="preserve">10层 </v>
      </c>
      <c r="L15" s="3007" t="str">
        <f t="shared" si="4"/>
        <v>1层</v>
      </c>
      <c r="N15">
        <f t="shared" ca="1" si="0"/>
        <v>774133</v>
      </c>
    </row>
    <row r="16" spans="1:14" ht="24">
      <c r="A16" s="3015">
        <v>13</v>
      </c>
      <c r="B16" s="3015" t="s">
        <v>3077</v>
      </c>
      <c r="C16" s="3004" t="s">
        <v>3431</v>
      </c>
      <c r="D16" s="3007" t="s">
        <v>3954</v>
      </c>
      <c r="E16" s="3008" t="s">
        <v>3955</v>
      </c>
      <c r="F16" s="3019">
        <v>68.13</v>
      </c>
      <c r="G16" s="3019">
        <v>8.6300000000000008</v>
      </c>
      <c r="H16" s="3016" t="s">
        <v>1373</v>
      </c>
      <c r="I16" s="3015" t="str">
        <f t="shared" si="1"/>
        <v>旅游用地</v>
      </c>
      <c r="J16" s="3010">
        <f t="shared" si="2"/>
        <v>56156</v>
      </c>
      <c r="K16" s="3007" t="str">
        <f t="shared" si="3"/>
        <v xml:space="preserve">10层 </v>
      </c>
      <c r="L16" s="3007" t="s">
        <v>3956</v>
      </c>
      <c r="N16">
        <f t="shared" ca="1" si="0"/>
        <v>713594</v>
      </c>
    </row>
    <row r="17" spans="1:14" ht="24">
      <c r="A17" s="3015">
        <v>14</v>
      </c>
      <c r="B17" s="3015" t="s">
        <v>3078</v>
      </c>
      <c r="C17" s="3004" t="s">
        <v>3431</v>
      </c>
      <c r="D17" s="3007" t="s">
        <v>3957</v>
      </c>
      <c r="E17" s="3008" t="s">
        <v>3958</v>
      </c>
      <c r="F17" s="3019">
        <v>52.64</v>
      </c>
      <c r="G17" s="3019">
        <v>6.67</v>
      </c>
      <c r="H17" s="3016" t="s">
        <v>1373</v>
      </c>
      <c r="I17" s="3015" t="str">
        <f t="shared" si="1"/>
        <v>旅游用地</v>
      </c>
      <c r="J17" s="3010">
        <f t="shared" si="2"/>
        <v>56156</v>
      </c>
      <c r="K17" s="3007" t="str">
        <f t="shared" si="3"/>
        <v xml:space="preserve">10层 </v>
      </c>
      <c r="L17" s="3007" t="str">
        <f>$L$16</f>
        <v>2层</v>
      </c>
      <c r="N17">
        <f t="shared" ca="1" si="0"/>
        <v>551351</v>
      </c>
    </row>
    <row r="18" spans="1:14" ht="24">
      <c r="A18" s="3015">
        <v>15</v>
      </c>
      <c r="B18" s="3015" t="s">
        <v>3079</v>
      </c>
      <c r="C18" s="3004" t="s">
        <v>3431</v>
      </c>
      <c r="D18" s="3007" t="s">
        <v>3959</v>
      </c>
      <c r="E18" s="3008" t="s">
        <v>3960</v>
      </c>
      <c r="F18" s="3019">
        <v>52.53</v>
      </c>
      <c r="G18" s="3019">
        <v>6.65</v>
      </c>
      <c r="H18" s="3016" t="s">
        <v>1373</v>
      </c>
      <c r="I18" s="3015" t="str">
        <f t="shared" si="1"/>
        <v>旅游用地</v>
      </c>
      <c r="J18" s="3010">
        <f t="shared" si="2"/>
        <v>56156</v>
      </c>
      <c r="K18" s="3007" t="str">
        <f t="shared" si="3"/>
        <v xml:space="preserve">10层 </v>
      </c>
      <c r="L18" s="3007" t="str">
        <f t="shared" ref="L18:L29" si="5">$L$16</f>
        <v>2层</v>
      </c>
      <c r="N18">
        <f t="shared" ca="1" si="0"/>
        <v>550199</v>
      </c>
    </row>
    <row r="19" spans="1:14" ht="24">
      <c r="A19" s="3015">
        <v>16</v>
      </c>
      <c r="B19" s="3015" t="s">
        <v>3080</v>
      </c>
      <c r="C19" s="3004" t="s">
        <v>3431</v>
      </c>
      <c r="D19" s="3007" t="s">
        <v>3961</v>
      </c>
      <c r="E19" s="3008" t="s">
        <v>3962</v>
      </c>
      <c r="F19" s="3019">
        <v>52.89</v>
      </c>
      <c r="G19" s="3019">
        <v>6.7</v>
      </c>
      <c r="H19" s="3016" t="s">
        <v>1373</v>
      </c>
      <c r="I19" s="3015" t="str">
        <f t="shared" si="1"/>
        <v>旅游用地</v>
      </c>
      <c r="J19" s="3010">
        <f t="shared" si="2"/>
        <v>56156</v>
      </c>
      <c r="K19" s="3007" t="str">
        <f t="shared" si="3"/>
        <v xml:space="preserve">10层 </v>
      </c>
      <c r="L19" s="3007" t="str">
        <f t="shared" si="5"/>
        <v>2层</v>
      </c>
      <c r="N19">
        <f t="shared" ca="1" si="0"/>
        <v>553970</v>
      </c>
    </row>
    <row r="20" spans="1:14" ht="24">
      <c r="A20" s="3015">
        <v>17</v>
      </c>
      <c r="B20" s="3015" t="s">
        <v>3081</v>
      </c>
      <c r="C20" s="3004" t="s">
        <v>3431</v>
      </c>
      <c r="D20" s="3007" t="s">
        <v>3963</v>
      </c>
      <c r="E20" s="3008" t="s">
        <v>3964</v>
      </c>
      <c r="F20" s="3019">
        <v>65.41</v>
      </c>
      <c r="G20" s="3019">
        <v>8.2799999999999994</v>
      </c>
      <c r="H20" s="3016" t="s">
        <v>1373</v>
      </c>
      <c r="I20" s="3015" t="str">
        <f t="shared" si="1"/>
        <v>旅游用地</v>
      </c>
      <c r="J20" s="3010">
        <f t="shared" si="2"/>
        <v>56156</v>
      </c>
      <c r="K20" s="3007" t="str">
        <f t="shared" si="3"/>
        <v xml:space="preserve">10层 </v>
      </c>
      <c r="L20" s="3007" t="str">
        <f t="shared" si="5"/>
        <v>2层</v>
      </c>
      <c r="N20">
        <f t="shared" ca="1" si="0"/>
        <v>685104</v>
      </c>
    </row>
    <row r="21" spans="1:14" ht="24">
      <c r="A21" s="3015">
        <v>18</v>
      </c>
      <c r="B21" s="3015" t="s">
        <v>3082</v>
      </c>
      <c r="C21" s="3004" t="s">
        <v>3431</v>
      </c>
      <c r="D21" s="3007" t="s">
        <v>3965</v>
      </c>
      <c r="E21" s="3008" t="s">
        <v>3966</v>
      </c>
      <c r="F21" s="3019">
        <v>55.76</v>
      </c>
      <c r="G21" s="3019">
        <v>7.06</v>
      </c>
      <c r="H21" s="3016" t="s">
        <v>1373</v>
      </c>
      <c r="I21" s="3015" t="str">
        <f t="shared" si="1"/>
        <v>旅游用地</v>
      </c>
      <c r="J21" s="3010">
        <f t="shared" si="2"/>
        <v>56156</v>
      </c>
      <c r="K21" s="3007" t="str">
        <f t="shared" si="3"/>
        <v xml:space="preserve">10层 </v>
      </c>
      <c r="L21" s="3007" t="str">
        <f t="shared" si="5"/>
        <v>2层</v>
      </c>
      <c r="N21">
        <f t="shared" ca="1" si="0"/>
        <v>584030</v>
      </c>
    </row>
    <row r="22" spans="1:14" ht="24">
      <c r="A22" s="3015">
        <v>19</v>
      </c>
      <c r="B22" s="3015" t="s">
        <v>3083</v>
      </c>
      <c r="C22" s="3004" t="s">
        <v>3431</v>
      </c>
      <c r="D22" s="3007" t="s">
        <v>3967</v>
      </c>
      <c r="E22" s="3008" t="s">
        <v>3968</v>
      </c>
      <c r="F22" s="3019">
        <v>94.3</v>
      </c>
      <c r="G22" s="3019">
        <v>11.94</v>
      </c>
      <c r="H22" s="3016" t="s">
        <v>1373</v>
      </c>
      <c r="I22" s="3015" t="str">
        <f t="shared" si="1"/>
        <v>旅游用地</v>
      </c>
      <c r="J22" s="3010">
        <f t="shared" si="2"/>
        <v>56156</v>
      </c>
      <c r="K22" s="3007" t="str">
        <f t="shared" si="3"/>
        <v xml:space="preserve">10层 </v>
      </c>
      <c r="L22" s="3007" t="str">
        <f t="shared" si="5"/>
        <v>2层</v>
      </c>
      <c r="N22">
        <f t="shared" ca="1" si="0"/>
        <v>987698</v>
      </c>
    </row>
    <row r="23" spans="1:14" ht="24">
      <c r="A23" s="3015">
        <v>20</v>
      </c>
      <c r="B23" s="3015" t="s">
        <v>3084</v>
      </c>
      <c r="C23" s="3004" t="s">
        <v>3934</v>
      </c>
      <c r="D23" s="3007" t="s">
        <v>3969</v>
      </c>
      <c r="E23" s="3008" t="s">
        <v>3970</v>
      </c>
      <c r="F23" s="3019">
        <v>94.3</v>
      </c>
      <c r="G23" s="3019">
        <v>11.94</v>
      </c>
      <c r="H23" s="3016" t="s">
        <v>1373</v>
      </c>
      <c r="I23" s="3015" t="str">
        <f t="shared" si="1"/>
        <v>旅游用地</v>
      </c>
      <c r="J23" s="3010">
        <f t="shared" si="2"/>
        <v>56156</v>
      </c>
      <c r="K23" s="3007" t="str">
        <f t="shared" si="3"/>
        <v xml:space="preserve">10层 </v>
      </c>
      <c r="L23" s="3007" t="str">
        <f t="shared" si="5"/>
        <v>2层</v>
      </c>
      <c r="N23">
        <f t="shared" ca="1" si="0"/>
        <v>987698</v>
      </c>
    </row>
    <row r="24" spans="1:14" ht="24">
      <c r="A24" s="3015">
        <v>21</v>
      </c>
      <c r="B24" s="3015" t="s">
        <v>3085</v>
      </c>
      <c r="C24" s="3004" t="s">
        <v>3431</v>
      </c>
      <c r="D24" s="3007" t="s">
        <v>3971</v>
      </c>
      <c r="E24" s="3008" t="s">
        <v>3972</v>
      </c>
      <c r="F24" s="3019">
        <v>55.76</v>
      </c>
      <c r="G24" s="3019">
        <v>7.06</v>
      </c>
      <c r="H24" s="3016" t="s">
        <v>1373</v>
      </c>
      <c r="I24" s="3015" t="str">
        <f t="shared" si="1"/>
        <v>旅游用地</v>
      </c>
      <c r="J24" s="3010">
        <f t="shared" si="2"/>
        <v>56156</v>
      </c>
      <c r="K24" s="3007" t="str">
        <f t="shared" si="3"/>
        <v xml:space="preserve">10层 </v>
      </c>
      <c r="L24" s="3007" t="str">
        <f t="shared" si="5"/>
        <v>2层</v>
      </c>
      <c r="N24">
        <f t="shared" ca="1" si="0"/>
        <v>584030</v>
      </c>
    </row>
    <row r="25" spans="1:14" ht="24">
      <c r="A25" s="3015">
        <v>22</v>
      </c>
      <c r="B25" s="3015" t="s">
        <v>3086</v>
      </c>
      <c r="C25" s="3004" t="s">
        <v>3431</v>
      </c>
      <c r="D25" s="3007" t="s">
        <v>3973</v>
      </c>
      <c r="E25" s="3008" t="s">
        <v>3974</v>
      </c>
      <c r="F25" s="3019">
        <v>65.41</v>
      </c>
      <c r="G25" s="3019">
        <v>8.2799999999999994</v>
      </c>
      <c r="H25" s="3016" t="s">
        <v>1373</v>
      </c>
      <c r="I25" s="3015" t="str">
        <f t="shared" si="1"/>
        <v>旅游用地</v>
      </c>
      <c r="J25" s="3010">
        <f t="shared" si="2"/>
        <v>56156</v>
      </c>
      <c r="K25" s="3007" t="str">
        <f t="shared" si="3"/>
        <v xml:space="preserve">10层 </v>
      </c>
      <c r="L25" s="3007" t="str">
        <f t="shared" si="5"/>
        <v>2层</v>
      </c>
      <c r="N25">
        <f t="shared" ca="1" si="0"/>
        <v>685104</v>
      </c>
    </row>
    <row r="26" spans="1:14" ht="24">
      <c r="A26" s="3015">
        <v>23</v>
      </c>
      <c r="B26" s="3015" t="s">
        <v>3087</v>
      </c>
      <c r="C26" s="3004" t="s">
        <v>3431</v>
      </c>
      <c r="D26" s="3007" t="s">
        <v>3975</v>
      </c>
      <c r="E26" s="3008" t="s">
        <v>3976</v>
      </c>
      <c r="F26" s="3019">
        <v>52.89</v>
      </c>
      <c r="G26" s="3019">
        <v>6.7</v>
      </c>
      <c r="H26" s="3016" t="s">
        <v>1373</v>
      </c>
      <c r="I26" s="3015" t="str">
        <f t="shared" si="1"/>
        <v>旅游用地</v>
      </c>
      <c r="J26" s="3010">
        <f t="shared" si="2"/>
        <v>56156</v>
      </c>
      <c r="K26" s="3007" t="str">
        <f t="shared" si="3"/>
        <v xml:space="preserve">10层 </v>
      </c>
      <c r="L26" s="3007" t="str">
        <f t="shared" si="5"/>
        <v>2层</v>
      </c>
      <c r="N26">
        <f t="shared" ca="1" si="0"/>
        <v>553970</v>
      </c>
    </row>
    <row r="27" spans="1:14" ht="24">
      <c r="A27" s="3015">
        <v>24</v>
      </c>
      <c r="B27" s="3015" t="s">
        <v>3088</v>
      </c>
      <c r="C27" s="3004" t="s">
        <v>3431</v>
      </c>
      <c r="D27" s="3007" t="s">
        <v>3977</v>
      </c>
      <c r="E27" s="3008" t="s">
        <v>3978</v>
      </c>
      <c r="F27" s="3019">
        <v>52.53</v>
      </c>
      <c r="G27" s="3019">
        <v>6.65</v>
      </c>
      <c r="H27" s="3016" t="s">
        <v>1373</v>
      </c>
      <c r="I27" s="3015" t="str">
        <f t="shared" si="1"/>
        <v>旅游用地</v>
      </c>
      <c r="J27" s="3010">
        <f t="shared" si="2"/>
        <v>56156</v>
      </c>
      <c r="K27" s="3007" t="str">
        <f t="shared" si="3"/>
        <v xml:space="preserve">10层 </v>
      </c>
      <c r="L27" s="3007" t="str">
        <f t="shared" si="5"/>
        <v>2层</v>
      </c>
      <c r="N27">
        <f t="shared" ca="1" si="0"/>
        <v>550199</v>
      </c>
    </row>
    <row r="28" spans="1:14" ht="24">
      <c r="A28" s="3015">
        <v>25</v>
      </c>
      <c r="B28" s="3015" t="s">
        <v>3089</v>
      </c>
      <c r="C28" s="3004" t="s">
        <v>3431</v>
      </c>
      <c r="D28" s="3007" t="s">
        <v>3979</v>
      </c>
      <c r="E28" s="3008" t="s">
        <v>3980</v>
      </c>
      <c r="F28" s="3019">
        <v>52.64</v>
      </c>
      <c r="G28" s="3019">
        <v>6.67</v>
      </c>
      <c r="H28" s="3016" t="s">
        <v>1373</v>
      </c>
      <c r="I28" s="3015" t="str">
        <f t="shared" si="1"/>
        <v>旅游用地</v>
      </c>
      <c r="J28" s="3010">
        <f t="shared" si="2"/>
        <v>56156</v>
      </c>
      <c r="K28" s="3007" t="str">
        <f t="shared" si="3"/>
        <v xml:space="preserve">10层 </v>
      </c>
      <c r="L28" s="3007" t="str">
        <f t="shared" si="5"/>
        <v>2层</v>
      </c>
      <c r="N28">
        <f t="shared" ca="1" si="0"/>
        <v>551351</v>
      </c>
    </row>
    <row r="29" spans="1:14" ht="24">
      <c r="A29" s="3015">
        <v>26</v>
      </c>
      <c r="B29" s="3015" t="s">
        <v>3090</v>
      </c>
      <c r="C29" s="3004" t="s">
        <v>3934</v>
      </c>
      <c r="D29" s="3007" t="s">
        <v>3981</v>
      </c>
      <c r="E29" s="3008" t="s">
        <v>3982</v>
      </c>
      <c r="F29" s="3019">
        <v>72.040000000000006</v>
      </c>
      <c r="G29" s="3019">
        <v>9.1199999999999992</v>
      </c>
      <c r="H29" s="3016" t="s">
        <v>1373</v>
      </c>
      <c r="I29" s="3015" t="str">
        <f t="shared" si="1"/>
        <v>旅游用地</v>
      </c>
      <c r="J29" s="3010">
        <f t="shared" si="2"/>
        <v>56156</v>
      </c>
      <c r="K29" s="3007" t="str">
        <f t="shared" si="3"/>
        <v xml:space="preserve">10层 </v>
      </c>
      <c r="L29" s="3007" t="str">
        <f t="shared" si="5"/>
        <v>2层</v>
      </c>
      <c r="N29">
        <f t="shared" ca="1" si="0"/>
        <v>754547</v>
      </c>
    </row>
    <row r="30" spans="1:14" ht="24">
      <c r="A30" s="3015">
        <v>27</v>
      </c>
      <c r="B30" s="3015" t="s">
        <v>3099</v>
      </c>
      <c r="C30" s="3004" t="s">
        <v>3431</v>
      </c>
      <c r="D30" s="3007" t="s">
        <v>3983</v>
      </c>
      <c r="E30" s="3008" t="s">
        <v>3984</v>
      </c>
      <c r="F30" s="3019">
        <v>68.13</v>
      </c>
      <c r="G30" s="3019">
        <v>8.6300000000000008</v>
      </c>
      <c r="H30" s="3016" t="s">
        <v>1373</v>
      </c>
      <c r="I30" s="3015" t="str">
        <f t="shared" si="1"/>
        <v>旅游用地</v>
      </c>
      <c r="J30" s="3010">
        <f t="shared" si="2"/>
        <v>56156</v>
      </c>
      <c r="K30" s="3007" t="str">
        <f t="shared" si="3"/>
        <v xml:space="preserve">10层 </v>
      </c>
      <c r="L30" s="3007" t="s">
        <v>3522</v>
      </c>
      <c r="N30">
        <f t="shared" ca="1" si="0"/>
        <v>713594</v>
      </c>
    </row>
    <row r="31" spans="1:14" ht="24">
      <c r="A31" s="3015">
        <v>28</v>
      </c>
      <c r="B31" s="3015" t="s">
        <v>3100</v>
      </c>
      <c r="C31" s="3004" t="s">
        <v>3431</v>
      </c>
      <c r="D31" s="3007" t="s">
        <v>3985</v>
      </c>
      <c r="E31" s="3008" t="s">
        <v>3986</v>
      </c>
      <c r="F31" s="3019">
        <v>52.64</v>
      </c>
      <c r="G31" s="3019">
        <v>6.67</v>
      </c>
      <c r="H31" s="3016" t="s">
        <v>1373</v>
      </c>
      <c r="I31" s="3015" t="str">
        <f t="shared" si="1"/>
        <v>旅游用地</v>
      </c>
      <c r="J31" s="3010">
        <f t="shared" si="2"/>
        <v>56156</v>
      </c>
      <c r="K31" s="3007" t="str">
        <f t="shared" si="3"/>
        <v xml:space="preserve">10层 </v>
      </c>
      <c r="L31" s="3007" t="str">
        <f>$L$30</f>
        <v>3层</v>
      </c>
      <c r="N31">
        <f t="shared" ca="1" si="0"/>
        <v>551351</v>
      </c>
    </row>
    <row r="32" spans="1:14" ht="24">
      <c r="A32" s="3015">
        <v>29</v>
      </c>
      <c r="B32" s="3015" t="s">
        <v>3101</v>
      </c>
      <c r="C32" s="3004" t="s">
        <v>3431</v>
      </c>
      <c r="D32" s="3007" t="s">
        <v>3987</v>
      </c>
      <c r="E32" s="3008" t="s">
        <v>3988</v>
      </c>
      <c r="F32" s="3019">
        <v>52.53</v>
      </c>
      <c r="G32" s="3019">
        <v>6.65</v>
      </c>
      <c r="H32" s="3016" t="s">
        <v>1373</v>
      </c>
      <c r="I32" s="3015" t="str">
        <f t="shared" si="1"/>
        <v>旅游用地</v>
      </c>
      <c r="J32" s="3010">
        <f t="shared" si="2"/>
        <v>56156</v>
      </c>
      <c r="K32" s="3007" t="str">
        <f t="shared" si="3"/>
        <v xml:space="preserve">10层 </v>
      </c>
      <c r="L32" s="3007" t="str">
        <f t="shared" ref="L32:L43" si="6">$L$30</f>
        <v>3层</v>
      </c>
      <c r="N32">
        <f t="shared" ca="1" si="0"/>
        <v>550199</v>
      </c>
    </row>
    <row r="33" spans="1:14" ht="24">
      <c r="A33" s="3015">
        <v>30</v>
      </c>
      <c r="B33" s="3015" t="s">
        <v>3102</v>
      </c>
      <c r="C33" s="3004" t="s">
        <v>3431</v>
      </c>
      <c r="D33" s="3007" t="s">
        <v>3989</v>
      </c>
      <c r="E33" s="3008" t="s">
        <v>3990</v>
      </c>
      <c r="F33" s="3019">
        <v>52.89</v>
      </c>
      <c r="G33" s="3019">
        <v>6.7</v>
      </c>
      <c r="H33" s="3016" t="s">
        <v>1373</v>
      </c>
      <c r="I33" s="3015" t="str">
        <f t="shared" si="1"/>
        <v>旅游用地</v>
      </c>
      <c r="J33" s="3010">
        <f t="shared" si="2"/>
        <v>56156</v>
      </c>
      <c r="K33" s="3007" t="str">
        <f t="shared" si="3"/>
        <v xml:space="preserve">10层 </v>
      </c>
      <c r="L33" s="3007" t="str">
        <f t="shared" si="6"/>
        <v>3层</v>
      </c>
      <c r="N33">
        <f t="shared" ca="1" si="0"/>
        <v>553970</v>
      </c>
    </row>
    <row r="34" spans="1:14" ht="24">
      <c r="A34" s="3015">
        <v>31</v>
      </c>
      <c r="B34" s="3015" t="s">
        <v>3103</v>
      </c>
      <c r="C34" s="3004" t="s">
        <v>3527</v>
      </c>
      <c r="D34" s="3007" t="s">
        <v>3991</v>
      </c>
      <c r="E34" s="3008" t="s">
        <v>3992</v>
      </c>
      <c r="F34" s="3019">
        <v>65.41</v>
      </c>
      <c r="G34" s="3019">
        <v>8.2799999999999994</v>
      </c>
      <c r="H34" s="3016" t="s">
        <v>1373</v>
      </c>
      <c r="I34" s="3015" t="str">
        <f t="shared" si="1"/>
        <v>旅游用地</v>
      </c>
      <c r="J34" s="3010">
        <f t="shared" si="2"/>
        <v>56156</v>
      </c>
      <c r="K34" s="3007" t="str">
        <f t="shared" si="3"/>
        <v xml:space="preserve">10层 </v>
      </c>
      <c r="L34" s="3007" t="str">
        <f t="shared" si="6"/>
        <v>3层</v>
      </c>
      <c r="N34">
        <f t="shared" ca="1" si="0"/>
        <v>685104</v>
      </c>
    </row>
    <row r="35" spans="1:14" ht="24">
      <c r="A35" s="3015">
        <v>32</v>
      </c>
      <c r="B35" s="3015" t="s">
        <v>3104</v>
      </c>
      <c r="C35" s="3004" t="s">
        <v>3993</v>
      </c>
      <c r="D35" s="3007" t="s">
        <v>3994</v>
      </c>
      <c r="E35" s="3008" t="s">
        <v>3995</v>
      </c>
      <c r="F35" s="3019">
        <v>55.76</v>
      </c>
      <c r="G35" s="3019">
        <v>7.06</v>
      </c>
      <c r="H35" s="3016" t="s">
        <v>1373</v>
      </c>
      <c r="I35" s="3015" t="str">
        <f t="shared" si="1"/>
        <v>旅游用地</v>
      </c>
      <c r="J35" s="3010">
        <f t="shared" si="2"/>
        <v>56156</v>
      </c>
      <c r="K35" s="3007" t="str">
        <f t="shared" si="3"/>
        <v xml:space="preserve">10层 </v>
      </c>
      <c r="L35" s="3007" t="str">
        <f t="shared" si="6"/>
        <v>3层</v>
      </c>
      <c r="N35">
        <f t="shared" ca="1" si="0"/>
        <v>584030</v>
      </c>
    </row>
    <row r="36" spans="1:14" ht="24">
      <c r="A36" s="3015">
        <v>33</v>
      </c>
      <c r="B36" s="3015" t="s">
        <v>3105</v>
      </c>
      <c r="C36" s="3004" t="s">
        <v>3996</v>
      </c>
      <c r="D36" s="3007" t="s">
        <v>3997</v>
      </c>
      <c r="E36" s="3008" t="s">
        <v>3998</v>
      </c>
      <c r="F36" s="3019">
        <v>94.3</v>
      </c>
      <c r="G36" s="3019">
        <v>11.94</v>
      </c>
      <c r="H36" s="3016" t="s">
        <v>1373</v>
      </c>
      <c r="I36" s="3015" t="str">
        <f t="shared" si="1"/>
        <v>旅游用地</v>
      </c>
      <c r="J36" s="3010">
        <f t="shared" si="2"/>
        <v>56156</v>
      </c>
      <c r="K36" s="3007" t="str">
        <f t="shared" si="3"/>
        <v xml:space="preserve">10层 </v>
      </c>
      <c r="L36" s="3007" t="str">
        <f t="shared" si="6"/>
        <v>3层</v>
      </c>
      <c r="N36">
        <f t="shared" ca="1" si="0"/>
        <v>987698</v>
      </c>
    </row>
    <row r="37" spans="1:14" ht="24">
      <c r="A37" s="3015">
        <v>34</v>
      </c>
      <c r="B37" s="3015" t="s">
        <v>3106</v>
      </c>
      <c r="C37" s="3004" t="s">
        <v>3999</v>
      </c>
      <c r="D37" s="3007" t="s">
        <v>4000</v>
      </c>
      <c r="E37" s="3008" t="s">
        <v>4001</v>
      </c>
      <c r="F37" s="3019">
        <v>94.3</v>
      </c>
      <c r="G37" s="3019">
        <v>11.94</v>
      </c>
      <c r="H37" s="3016" t="s">
        <v>1373</v>
      </c>
      <c r="I37" s="3015" t="str">
        <f t="shared" si="1"/>
        <v>旅游用地</v>
      </c>
      <c r="J37" s="3010">
        <f t="shared" si="2"/>
        <v>56156</v>
      </c>
      <c r="K37" s="3007" t="str">
        <f t="shared" si="3"/>
        <v xml:space="preserve">10层 </v>
      </c>
      <c r="L37" s="3007" t="str">
        <f t="shared" si="6"/>
        <v>3层</v>
      </c>
      <c r="N37">
        <f t="shared" ca="1" si="0"/>
        <v>987698</v>
      </c>
    </row>
    <row r="38" spans="1:14" ht="24">
      <c r="A38" s="3015">
        <v>35</v>
      </c>
      <c r="B38" s="3015" t="s">
        <v>3107</v>
      </c>
      <c r="C38" s="3004" t="s">
        <v>4002</v>
      </c>
      <c r="D38" s="3007" t="s">
        <v>4003</v>
      </c>
      <c r="E38" s="3008" t="s">
        <v>4004</v>
      </c>
      <c r="F38" s="3019">
        <v>55.76</v>
      </c>
      <c r="G38" s="3019">
        <v>7.06</v>
      </c>
      <c r="H38" s="3016" t="s">
        <v>1373</v>
      </c>
      <c r="I38" s="3015" t="str">
        <f t="shared" si="1"/>
        <v>旅游用地</v>
      </c>
      <c r="J38" s="3010">
        <f t="shared" si="2"/>
        <v>56156</v>
      </c>
      <c r="K38" s="3007" t="str">
        <f t="shared" si="3"/>
        <v xml:space="preserve">10层 </v>
      </c>
      <c r="L38" s="3007" t="str">
        <f t="shared" si="6"/>
        <v>3层</v>
      </c>
      <c r="N38">
        <f t="shared" ca="1" si="0"/>
        <v>584030</v>
      </c>
    </row>
    <row r="39" spans="1:14" ht="24">
      <c r="A39" s="3015">
        <v>36</v>
      </c>
      <c r="B39" s="3015" t="s">
        <v>3108</v>
      </c>
      <c r="C39" s="3004" t="s">
        <v>4005</v>
      </c>
      <c r="D39" s="3007" t="s">
        <v>4006</v>
      </c>
      <c r="E39" s="3008" t="s">
        <v>4007</v>
      </c>
      <c r="F39" s="3019">
        <v>65.41</v>
      </c>
      <c r="G39" s="3019">
        <v>8.2799999999999994</v>
      </c>
      <c r="H39" s="3016" t="s">
        <v>1373</v>
      </c>
      <c r="I39" s="3015" t="str">
        <f t="shared" si="1"/>
        <v>旅游用地</v>
      </c>
      <c r="J39" s="3010">
        <f t="shared" si="2"/>
        <v>56156</v>
      </c>
      <c r="K39" s="3007" t="str">
        <f t="shared" si="3"/>
        <v xml:space="preserve">10层 </v>
      </c>
      <c r="L39" s="3007" t="str">
        <f t="shared" si="6"/>
        <v>3层</v>
      </c>
      <c r="N39">
        <f t="shared" ca="1" si="0"/>
        <v>685104</v>
      </c>
    </row>
    <row r="40" spans="1:14" ht="24">
      <c r="A40" s="3015">
        <v>37</v>
      </c>
      <c r="B40" s="3015" t="s">
        <v>3109</v>
      </c>
      <c r="C40" s="3004" t="s">
        <v>3993</v>
      </c>
      <c r="D40" s="3007" t="s">
        <v>4008</v>
      </c>
      <c r="E40" s="3008" t="s">
        <v>4009</v>
      </c>
      <c r="F40" s="3019">
        <v>52.89</v>
      </c>
      <c r="G40" s="3019">
        <v>6.7</v>
      </c>
      <c r="H40" s="3016" t="s">
        <v>1373</v>
      </c>
      <c r="I40" s="3015" t="str">
        <f t="shared" si="1"/>
        <v>旅游用地</v>
      </c>
      <c r="J40" s="3010">
        <f t="shared" si="2"/>
        <v>56156</v>
      </c>
      <c r="K40" s="3007" t="str">
        <f t="shared" si="3"/>
        <v xml:space="preserve">10层 </v>
      </c>
      <c r="L40" s="3007" t="str">
        <f t="shared" si="6"/>
        <v>3层</v>
      </c>
      <c r="N40">
        <f t="shared" ca="1" si="0"/>
        <v>553970</v>
      </c>
    </row>
    <row r="41" spans="1:14" ht="24">
      <c r="A41" s="3015">
        <v>38</v>
      </c>
      <c r="B41" s="3015" t="s">
        <v>3110</v>
      </c>
      <c r="C41" s="3004" t="s">
        <v>3993</v>
      </c>
      <c r="D41" s="3007" t="s">
        <v>4010</v>
      </c>
      <c r="E41" s="3008" t="s">
        <v>4011</v>
      </c>
      <c r="F41" s="3019">
        <v>52.53</v>
      </c>
      <c r="G41" s="3019">
        <v>6.65</v>
      </c>
      <c r="H41" s="3016" t="s">
        <v>1373</v>
      </c>
      <c r="I41" s="3015" t="str">
        <f t="shared" si="1"/>
        <v>旅游用地</v>
      </c>
      <c r="J41" s="3010">
        <f t="shared" si="2"/>
        <v>56156</v>
      </c>
      <c r="K41" s="3007" t="str">
        <f t="shared" si="3"/>
        <v xml:space="preserve">10层 </v>
      </c>
      <c r="L41" s="3007" t="str">
        <f t="shared" si="6"/>
        <v>3层</v>
      </c>
      <c r="N41">
        <f t="shared" ca="1" si="0"/>
        <v>550199</v>
      </c>
    </row>
    <row r="42" spans="1:14" ht="24">
      <c r="A42" s="3015">
        <v>39</v>
      </c>
      <c r="B42" s="3015" t="s">
        <v>3111</v>
      </c>
      <c r="C42" s="3004" t="s">
        <v>4012</v>
      </c>
      <c r="D42" s="3007" t="s">
        <v>4013</v>
      </c>
      <c r="E42" s="3008" t="s">
        <v>4014</v>
      </c>
      <c r="F42" s="3019">
        <v>52.64</v>
      </c>
      <c r="G42" s="3019">
        <v>6.67</v>
      </c>
      <c r="H42" s="3016" t="s">
        <v>1373</v>
      </c>
      <c r="I42" s="3015" t="str">
        <f t="shared" si="1"/>
        <v>旅游用地</v>
      </c>
      <c r="J42" s="3010">
        <f t="shared" si="2"/>
        <v>56156</v>
      </c>
      <c r="K42" s="3007" t="str">
        <f t="shared" si="3"/>
        <v xml:space="preserve">10层 </v>
      </c>
      <c r="L42" s="3007" t="str">
        <f t="shared" si="6"/>
        <v>3层</v>
      </c>
      <c r="N42">
        <f t="shared" ca="1" si="0"/>
        <v>551351</v>
      </c>
    </row>
    <row r="43" spans="1:14" ht="24">
      <c r="A43" s="3015">
        <v>40</v>
      </c>
      <c r="B43" s="3015" t="s">
        <v>3112</v>
      </c>
      <c r="C43" s="3004" t="s">
        <v>3996</v>
      </c>
      <c r="D43" s="3007" t="s">
        <v>4015</v>
      </c>
      <c r="E43" s="3008" t="s">
        <v>4016</v>
      </c>
      <c r="F43" s="3019">
        <v>72.040000000000006</v>
      </c>
      <c r="G43" s="3019">
        <v>9.1199999999999992</v>
      </c>
      <c r="H43" s="3016" t="s">
        <v>1373</v>
      </c>
      <c r="I43" s="3015" t="str">
        <f t="shared" si="1"/>
        <v>旅游用地</v>
      </c>
      <c r="J43" s="3010">
        <f t="shared" si="2"/>
        <v>56156</v>
      </c>
      <c r="K43" s="3007" t="str">
        <f t="shared" si="3"/>
        <v xml:space="preserve">10层 </v>
      </c>
      <c r="L43" s="3007" t="str">
        <f t="shared" si="6"/>
        <v>3层</v>
      </c>
      <c r="N43">
        <f t="shared" ca="1" si="0"/>
        <v>754547</v>
      </c>
    </row>
    <row r="44" spans="1:14" ht="24">
      <c r="A44" s="3015">
        <v>41</v>
      </c>
      <c r="B44" s="3015" t="s">
        <v>3121</v>
      </c>
      <c r="C44" s="3004" t="s">
        <v>4017</v>
      </c>
      <c r="D44" s="3007" t="s">
        <v>4018</v>
      </c>
      <c r="E44" s="3008" t="s">
        <v>4019</v>
      </c>
      <c r="F44" s="3019">
        <v>68.13</v>
      </c>
      <c r="G44" s="3019">
        <v>8.6300000000000008</v>
      </c>
      <c r="H44" s="3016" t="s">
        <v>1373</v>
      </c>
      <c r="I44" s="3015" t="str">
        <f t="shared" si="1"/>
        <v>旅游用地</v>
      </c>
      <c r="J44" s="3010">
        <f t="shared" si="2"/>
        <v>56156</v>
      </c>
      <c r="K44" s="3007" t="str">
        <f t="shared" si="3"/>
        <v xml:space="preserve">10层 </v>
      </c>
      <c r="L44" s="3007" t="s">
        <v>4020</v>
      </c>
      <c r="N44">
        <f t="shared" ca="1" si="0"/>
        <v>713594</v>
      </c>
    </row>
    <row r="45" spans="1:14" ht="24">
      <c r="A45" s="3015">
        <v>42</v>
      </c>
      <c r="B45" s="3015" t="s">
        <v>3122</v>
      </c>
      <c r="C45" s="3004" t="s">
        <v>3996</v>
      </c>
      <c r="D45" s="3007" t="s">
        <v>4021</v>
      </c>
      <c r="E45" s="3008" t="s">
        <v>4022</v>
      </c>
      <c r="F45" s="3019">
        <v>52.64</v>
      </c>
      <c r="G45" s="3019">
        <v>6.67</v>
      </c>
      <c r="H45" s="3016" t="s">
        <v>1373</v>
      </c>
      <c r="I45" s="3015" t="str">
        <f t="shared" si="1"/>
        <v>旅游用地</v>
      </c>
      <c r="J45" s="3010">
        <f t="shared" si="2"/>
        <v>56156</v>
      </c>
      <c r="K45" s="3007" t="str">
        <f t="shared" si="3"/>
        <v xml:space="preserve">10层 </v>
      </c>
      <c r="L45" s="3007" t="str">
        <f>$L$44</f>
        <v>4层</v>
      </c>
      <c r="N45">
        <f t="shared" ca="1" si="0"/>
        <v>551351</v>
      </c>
    </row>
    <row r="46" spans="1:14" ht="24">
      <c r="A46" s="3015">
        <v>43</v>
      </c>
      <c r="B46" s="3015" t="s">
        <v>3123</v>
      </c>
      <c r="C46" s="3004" t="s">
        <v>4023</v>
      </c>
      <c r="D46" s="3007" t="s">
        <v>4024</v>
      </c>
      <c r="E46" s="3008" t="s">
        <v>4025</v>
      </c>
      <c r="F46" s="3019">
        <v>52.53</v>
      </c>
      <c r="G46" s="3019">
        <v>6.65</v>
      </c>
      <c r="H46" s="3016" t="s">
        <v>1373</v>
      </c>
      <c r="I46" s="3015" t="str">
        <f t="shared" si="1"/>
        <v>旅游用地</v>
      </c>
      <c r="J46" s="3010">
        <f t="shared" si="2"/>
        <v>56156</v>
      </c>
      <c r="K46" s="3007" t="str">
        <f t="shared" si="3"/>
        <v xml:space="preserve">10层 </v>
      </c>
      <c r="L46" s="3007" t="str">
        <f t="shared" ref="L46:L57" si="7">$L$44</f>
        <v>4层</v>
      </c>
      <c r="N46">
        <f t="shared" ca="1" si="0"/>
        <v>550199</v>
      </c>
    </row>
    <row r="47" spans="1:14" ht="24">
      <c r="A47" s="3015">
        <v>44</v>
      </c>
      <c r="B47" s="3015" t="s">
        <v>3124</v>
      </c>
      <c r="C47" s="3004" t="s">
        <v>4017</v>
      </c>
      <c r="D47" s="3007" t="s">
        <v>4026</v>
      </c>
      <c r="E47" s="3008" t="s">
        <v>4027</v>
      </c>
      <c r="F47" s="3019">
        <v>52.89</v>
      </c>
      <c r="G47" s="3019">
        <v>6.7</v>
      </c>
      <c r="H47" s="3016" t="s">
        <v>1373</v>
      </c>
      <c r="I47" s="3015" t="str">
        <f t="shared" si="1"/>
        <v>旅游用地</v>
      </c>
      <c r="J47" s="3010">
        <f t="shared" si="2"/>
        <v>56156</v>
      </c>
      <c r="K47" s="3007" t="str">
        <f t="shared" si="3"/>
        <v xml:space="preserve">10层 </v>
      </c>
      <c r="L47" s="3007" t="str">
        <f t="shared" si="7"/>
        <v>4层</v>
      </c>
      <c r="N47">
        <f t="shared" ca="1" si="0"/>
        <v>553970</v>
      </c>
    </row>
    <row r="48" spans="1:14" ht="24">
      <c r="A48" s="3015">
        <v>45</v>
      </c>
      <c r="B48" s="3015" t="s">
        <v>3125</v>
      </c>
      <c r="C48" s="3004" t="s">
        <v>4028</v>
      </c>
      <c r="D48" s="3007" t="s">
        <v>4029</v>
      </c>
      <c r="E48" s="3008" t="s">
        <v>4030</v>
      </c>
      <c r="F48" s="3019">
        <v>65.41</v>
      </c>
      <c r="G48" s="3019">
        <v>8.2799999999999994</v>
      </c>
      <c r="H48" s="3016" t="s">
        <v>1373</v>
      </c>
      <c r="I48" s="3015" t="str">
        <f t="shared" si="1"/>
        <v>旅游用地</v>
      </c>
      <c r="J48" s="3010">
        <f t="shared" si="2"/>
        <v>56156</v>
      </c>
      <c r="K48" s="3007" t="str">
        <f t="shared" si="3"/>
        <v xml:space="preserve">10层 </v>
      </c>
      <c r="L48" s="3007" t="str">
        <f t="shared" si="7"/>
        <v>4层</v>
      </c>
      <c r="N48">
        <f t="shared" ca="1" si="0"/>
        <v>685104</v>
      </c>
    </row>
    <row r="49" spans="1:14" ht="24">
      <c r="A49" s="3015">
        <v>46</v>
      </c>
      <c r="B49" s="3015" t="s">
        <v>3126</v>
      </c>
      <c r="C49" s="3004" t="s">
        <v>3993</v>
      </c>
      <c r="D49" s="3007" t="s">
        <v>4031</v>
      </c>
      <c r="E49" s="3008" t="s">
        <v>4032</v>
      </c>
      <c r="F49" s="3019">
        <v>55.76</v>
      </c>
      <c r="G49" s="3019">
        <v>7.06</v>
      </c>
      <c r="H49" s="3016" t="s">
        <v>1373</v>
      </c>
      <c r="I49" s="3015" t="str">
        <f t="shared" si="1"/>
        <v>旅游用地</v>
      </c>
      <c r="J49" s="3010">
        <f t="shared" si="2"/>
        <v>56156</v>
      </c>
      <c r="K49" s="3007" t="str">
        <f t="shared" si="3"/>
        <v xml:space="preserve">10层 </v>
      </c>
      <c r="L49" s="3007" t="str">
        <f t="shared" si="7"/>
        <v>4层</v>
      </c>
      <c r="N49">
        <f t="shared" ca="1" si="0"/>
        <v>584030</v>
      </c>
    </row>
    <row r="50" spans="1:14" ht="24">
      <c r="A50" s="3015">
        <v>47</v>
      </c>
      <c r="B50" s="3015" t="s">
        <v>3127</v>
      </c>
      <c r="C50" s="3004" t="s">
        <v>4033</v>
      </c>
      <c r="D50" s="3007" t="s">
        <v>4034</v>
      </c>
      <c r="E50" s="3008" t="s">
        <v>4035</v>
      </c>
      <c r="F50" s="3019">
        <v>94.3</v>
      </c>
      <c r="G50" s="3019">
        <v>11.94</v>
      </c>
      <c r="H50" s="3016" t="s">
        <v>1373</v>
      </c>
      <c r="I50" s="3015" t="str">
        <f t="shared" si="1"/>
        <v>旅游用地</v>
      </c>
      <c r="J50" s="3010">
        <f t="shared" si="2"/>
        <v>56156</v>
      </c>
      <c r="K50" s="3007" t="str">
        <f t="shared" si="3"/>
        <v xml:space="preserve">10层 </v>
      </c>
      <c r="L50" s="3007" t="str">
        <f t="shared" si="7"/>
        <v>4层</v>
      </c>
      <c r="N50">
        <f t="shared" ca="1" si="0"/>
        <v>987698</v>
      </c>
    </row>
    <row r="51" spans="1:14" ht="24">
      <c r="A51" s="3015">
        <v>48</v>
      </c>
      <c r="B51" s="3015" t="s">
        <v>3128</v>
      </c>
      <c r="C51" s="3004" t="s">
        <v>4012</v>
      </c>
      <c r="D51" s="3007" t="s">
        <v>4036</v>
      </c>
      <c r="E51" s="3008" t="s">
        <v>4037</v>
      </c>
      <c r="F51" s="3019">
        <v>94.3</v>
      </c>
      <c r="G51" s="3019">
        <v>11.94</v>
      </c>
      <c r="H51" s="3016" t="s">
        <v>1373</v>
      </c>
      <c r="I51" s="3015" t="str">
        <f t="shared" si="1"/>
        <v>旅游用地</v>
      </c>
      <c r="J51" s="3010">
        <f t="shared" si="2"/>
        <v>56156</v>
      </c>
      <c r="K51" s="3007" t="str">
        <f t="shared" si="3"/>
        <v xml:space="preserve">10层 </v>
      </c>
      <c r="L51" s="3007" t="str">
        <f t="shared" si="7"/>
        <v>4层</v>
      </c>
      <c r="N51">
        <f t="shared" ca="1" si="0"/>
        <v>987698</v>
      </c>
    </row>
    <row r="52" spans="1:14" ht="24">
      <c r="A52" s="3015">
        <v>49</v>
      </c>
      <c r="B52" s="3015" t="s">
        <v>3129</v>
      </c>
      <c r="C52" s="3004" t="s">
        <v>4002</v>
      </c>
      <c r="D52" s="3007" t="s">
        <v>4038</v>
      </c>
      <c r="E52" s="3008" t="s">
        <v>4039</v>
      </c>
      <c r="F52" s="3019">
        <v>55.76</v>
      </c>
      <c r="G52" s="3019">
        <v>7.06</v>
      </c>
      <c r="H52" s="3016" t="s">
        <v>1373</v>
      </c>
      <c r="I52" s="3015" t="str">
        <f t="shared" si="1"/>
        <v>旅游用地</v>
      </c>
      <c r="J52" s="3010">
        <f t="shared" si="2"/>
        <v>56156</v>
      </c>
      <c r="K52" s="3007" t="str">
        <f t="shared" si="3"/>
        <v xml:space="preserve">10层 </v>
      </c>
      <c r="L52" s="3007" t="str">
        <f t="shared" si="7"/>
        <v>4层</v>
      </c>
      <c r="N52">
        <f t="shared" ca="1" si="0"/>
        <v>584030</v>
      </c>
    </row>
    <row r="53" spans="1:14" ht="24">
      <c r="A53" s="3015">
        <v>50</v>
      </c>
      <c r="B53" s="3015" t="s">
        <v>3130</v>
      </c>
      <c r="C53" s="3004" t="s">
        <v>4040</v>
      </c>
      <c r="D53" s="3007" t="s">
        <v>4041</v>
      </c>
      <c r="E53" s="3008" t="s">
        <v>4042</v>
      </c>
      <c r="F53" s="3019">
        <v>65.41</v>
      </c>
      <c r="G53" s="3019">
        <v>8.2799999999999994</v>
      </c>
      <c r="H53" s="3016" t="s">
        <v>1373</v>
      </c>
      <c r="I53" s="3015" t="str">
        <f t="shared" si="1"/>
        <v>旅游用地</v>
      </c>
      <c r="J53" s="3010">
        <f t="shared" si="2"/>
        <v>56156</v>
      </c>
      <c r="K53" s="3007" t="str">
        <f t="shared" si="3"/>
        <v xml:space="preserve">10层 </v>
      </c>
      <c r="L53" s="3007" t="str">
        <f t="shared" si="7"/>
        <v>4层</v>
      </c>
      <c r="N53">
        <f t="shared" ca="1" si="0"/>
        <v>685104</v>
      </c>
    </row>
    <row r="54" spans="1:14" ht="24">
      <c r="A54" s="3015">
        <v>51</v>
      </c>
      <c r="B54" s="3015" t="s">
        <v>3131</v>
      </c>
      <c r="C54" s="3004" t="s">
        <v>4028</v>
      </c>
      <c r="D54" s="3007" t="s">
        <v>4043</v>
      </c>
      <c r="E54" s="3008" t="s">
        <v>4044</v>
      </c>
      <c r="F54" s="3019">
        <v>52.89</v>
      </c>
      <c r="G54" s="3019">
        <v>6.7</v>
      </c>
      <c r="H54" s="3016" t="s">
        <v>1373</v>
      </c>
      <c r="I54" s="3015" t="str">
        <f t="shared" si="1"/>
        <v>旅游用地</v>
      </c>
      <c r="J54" s="3010">
        <f t="shared" si="2"/>
        <v>56156</v>
      </c>
      <c r="K54" s="3007" t="str">
        <f t="shared" si="3"/>
        <v xml:space="preserve">10层 </v>
      </c>
      <c r="L54" s="3007" t="str">
        <f t="shared" si="7"/>
        <v>4层</v>
      </c>
      <c r="N54">
        <f t="shared" ca="1" si="0"/>
        <v>553970</v>
      </c>
    </row>
    <row r="55" spans="1:14" ht="24">
      <c r="A55" s="3015">
        <v>52</v>
      </c>
      <c r="B55" s="3015" t="s">
        <v>3132</v>
      </c>
      <c r="C55" s="3004" t="s">
        <v>4002</v>
      </c>
      <c r="D55" s="3007" t="s">
        <v>4045</v>
      </c>
      <c r="E55" s="3008" t="s">
        <v>4046</v>
      </c>
      <c r="F55" s="3019">
        <v>52.53</v>
      </c>
      <c r="G55" s="3019">
        <v>6.65</v>
      </c>
      <c r="H55" s="3016" t="s">
        <v>1373</v>
      </c>
      <c r="I55" s="3015" t="str">
        <f t="shared" si="1"/>
        <v>旅游用地</v>
      </c>
      <c r="J55" s="3010">
        <f t="shared" si="2"/>
        <v>56156</v>
      </c>
      <c r="K55" s="3007" t="str">
        <f t="shared" si="3"/>
        <v xml:space="preserve">10层 </v>
      </c>
      <c r="L55" s="3007" t="str">
        <f t="shared" si="7"/>
        <v>4层</v>
      </c>
      <c r="N55">
        <f t="shared" ca="1" si="0"/>
        <v>550199</v>
      </c>
    </row>
    <row r="56" spans="1:14" ht="24">
      <c r="A56" s="3015">
        <v>53</v>
      </c>
      <c r="B56" s="3015" t="s">
        <v>3133</v>
      </c>
      <c r="C56" s="3004" t="s">
        <v>4047</v>
      </c>
      <c r="D56" s="3007" t="s">
        <v>4048</v>
      </c>
      <c r="E56" s="3008" t="s">
        <v>4049</v>
      </c>
      <c r="F56" s="3019">
        <v>52.64</v>
      </c>
      <c r="G56" s="3019">
        <v>6.67</v>
      </c>
      <c r="H56" s="3016" t="s">
        <v>1373</v>
      </c>
      <c r="I56" s="3015" t="str">
        <f t="shared" si="1"/>
        <v>旅游用地</v>
      </c>
      <c r="J56" s="3010">
        <f t="shared" si="2"/>
        <v>56156</v>
      </c>
      <c r="K56" s="3007" t="str">
        <f t="shared" si="3"/>
        <v xml:space="preserve">10层 </v>
      </c>
      <c r="L56" s="3007" t="str">
        <f t="shared" si="7"/>
        <v>4层</v>
      </c>
      <c r="N56">
        <f t="shared" ca="1" si="0"/>
        <v>551351</v>
      </c>
    </row>
    <row r="57" spans="1:14" ht="24">
      <c r="A57" s="3015">
        <v>54</v>
      </c>
      <c r="B57" s="3015" t="s">
        <v>3134</v>
      </c>
      <c r="C57" s="3004" t="s">
        <v>4028</v>
      </c>
      <c r="D57" s="3007" t="s">
        <v>4050</v>
      </c>
      <c r="E57" s="3008" t="s">
        <v>4051</v>
      </c>
      <c r="F57" s="3019">
        <v>72.040000000000006</v>
      </c>
      <c r="G57" s="3019">
        <v>9.1199999999999992</v>
      </c>
      <c r="H57" s="3016" t="s">
        <v>1373</v>
      </c>
      <c r="I57" s="3015" t="str">
        <f t="shared" si="1"/>
        <v>旅游用地</v>
      </c>
      <c r="J57" s="3010">
        <f t="shared" si="2"/>
        <v>56156</v>
      </c>
      <c r="K57" s="3007" t="str">
        <f t="shared" si="3"/>
        <v xml:space="preserve">10层 </v>
      </c>
      <c r="L57" s="3007" t="str">
        <f t="shared" si="7"/>
        <v>4层</v>
      </c>
      <c r="N57">
        <f t="shared" ca="1" si="0"/>
        <v>754547</v>
      </c>
    </row>
    <row r="58" spans="1:14" ht="24">
      <c r="A58" s="3015">
        <v>55</v>
      </c>
      <c r="B58" s="3015" t="s">
        <v>3143</v>
      </c>
      <c r="C58" s="3004" t="s">
        <v>3999</v>
      </c>
      <c r="D58" s="3007" t="s">
        <v>4052</v>
      </c>
      <c r="E58" s="3008" t="s">
        <v>4053</v>
      </c>
      <c r="F58" s="3019">
        <v>68.13</v>
      </c>
      <c r="G58" s="3019">
        <v>8.6300000000000008</v>
      </c>
      <c r="H58" s="3016" t="s">
        <v>1373</v>
      </c>
      <c r="I58" s="3015" t="str">
        <f t="shared" si="1"/>
        <v>旅游用地</v>
      </c>
      <c r="J58" s="3010">
        <f t="shared" si="2"/>
        <v>56156</v>
      </c>
      <c r="K58" s="3007" t="str">
        <f t="shared" si="3"/>
        <v xml:space="preserve">10层 </v>
      </c>
      <c r="L58" s="3007" t="s">
        <v>4054</v>
      </c>
      <c r="N58">
        <f t="shared" ca="1" si="0"/>
        <v>713594</v>
      </c>
    </row>
    <row r="59" spans="1:14" ht="24">
      <c r="A59" s="3015">
        <v>56</v>
      </c>
      <c r="B59" s="3015" t="s">
        <v>3144</v>
      </c>
      <c r="C59" s="3004" t="s">
        <v>3840</v>
      </c>
      <c r="D59" s="3007" t="s">
        <v>4055</v>
      </c>
      <c r="E59" s="3008" t="s">
        <v>4056</v>
      </c>
      <c r="F59" s="3019">
        <v>52.64</v>
      </c>
      <c r="G59" s="3019">
        <v>6.67</v>
      </c>
      <c r="H59" s="3016" t="s">
        <v>1373</v>
      </c>
      <c r="I59" s="3015" t="str">
        <f t="shared" si="1"/>
        <v>旅游用地</v>
      </c>
      <c r="J59" s="3010">
        <f t="shared" si="2"/>
        <v>56156</v>
      </c>
      <c r="K59" s="3007" t="str">
        <f t="shared" si="3"/>
        <v xml:space="preserve">10层 </v>
      </c>
      <c r="L59" s="3007" t="str">
        <f>L58</f>
        <v>5层</v>
      </c>
      <c r="N59">
        <f t="shared" ca="1" si="0"/>
        <v>551351</v>
      </c>
    </row>
    <row r="60" spans="1:14" ht="24">
      <c r="A60" s="3015">
        <v>57</v>
      </c>
      <c r="B60" s="3015" t="s">
        <v>3145</v>
      </c>
      <c r="C60" s="3004" t="s">
        <v>3527</v>
      </c>
      <c r="D60" s="3007" t="s">
        <v>4057</v>
      </c>
      <c r="E60" s="3008" t="s">
        <v>4058</v>
      </c>
      <c r="F60" s="3019">
        <v>52.53</v>
      </c>
      <c r="G60" s="3019">
        <v>6.65</v>
      </c>
      <c r="H60" s="3016" t="s">
        <v>1373</v>
      </c>
      <c r="I60" s="3015" t="str">
        <f t="shared" si="1"/>
        <v>旅游用地</v>
      </c>
      <c r="J60" s="3010">
        <f t="shared" si="2"/>
        <v>56156</v>
      </c>
      <c r="K60" s="3007" t="str">
        <f t="shared" si="3"/>
        <v xml:space="preserve">10层 </v>
      </c>
      <c r="L60" s="3007" t="str">
        <f t="shared" si="3"/>
        <v>5层</v>
      </c>
      <c r="N60">
        <f t="shared" ca="1" si="0"/>
        <v>550199</v>
      </c>
    </row>
    <row r="61" spans="1:14" ht="24">
      <c r="A61" s="3015">
        <v>58</v>
      </c>
      <c r="B61" s="3015" t="s">
        <v>3146</v>
      </c>
      <c r="C61" s="3004" t="s">
        <v>3840</v>
      </c>
      <c r="D61" s="3007" t="s">
        <v>4059</v>
      </c>
      <c r="E61" s="3008" t="s">
        <v>4060</v>
      </c>
      <c r="F61" s="3019">
        <v>52.89</v>
      </c>
      <c r="G61" s="3019">
        <v>6.7</v>
      </c>
      <c r="H61" s="3016" t="s">
        <v>1373</v>
      </c>
      <c r="I61" s="3015" t="str">
        <f t="shared" si="1"/>
        <v>旅游用地</v>
      </c>
      <c r="J61" s="3010">
        <f t="shared" si="2"/>
        <v>56156</v>
      </c>
      <c r="K61" s="3007" t="str">
        <f t="shared" ref="K61:L76" si="8">K60</f>
        <v xml:space="preserve">10层 </v>
      </c>
      <c r="L61" s="3007" t="str">
        <f t="shared" si="8"/>
        <v>5层</v>
      </c>
      <c r="N61">
        <f t="shared" ca="1" si="0"/>
        <v>553970</v>
      </c>
    </row>
    <row r="62" spans="1:14" ht="24">
      <c r="A62" s="3015">
        <v>59</v>
      </c>
      <c r="B62" s="3015" t="s">
        <v>3147</v>
      </c>
      <c r="C62" s="3004" t="s">
        <v>3527</v>
      </c>
      <c r="D62" s="3007" t="s">
        <v>4061</v>
      </c>
      <c r="E62" s="3008" t="s">
        <v>4062</v>
      </c>
      <c r="F62" s="3019">
        <v>65.41</v>
      </c>
      <c r="G62" s="3019">
        <v>8.2799999999999994</v>
      </c>
      <c r="H62" s="3016" t="s">
        <v>1373</v>
      </c>
      <c r="I62" s="3015" t="str">
        <f t="shared" si="1"/>
        <v>旅游用地</v>
      </c>
      <c r="J62" s="3010">
        <f t="shared" si="2"/>
        <v>56156</v>
      </c>
      <c r="K62" s="3007" t="str">
        <f t="shared" si="8"/>
        <v xml:space="preserve">10层 </v>
      </c>
      <c r="L62" s="3007" t="str">
        <f t="shared" si="8"/>
        <v>5层</v>
      </c>
      <c r="N62">
        <f t="shared" ca="1" si="0"/>
        <v>685104</v>
      </c>
    </row>
    <row r="63" spans="1:14" ht="24">
      <c r="A63" s="3015">
        <v>60</v>
      </c>
      <c r="B63" s="3015" t="s">
        <v>3148</v>
      </c>
      <c r="C63" s="3004" t="s">
        <v>3527</v>
      </c>
      <c r="D63" s="3007" t="s">
        <v>4063</v>
      </c>
      <c r="E63" s="3008" t="s">
        <v>4064</v>
      </c>
      <c r="F63" s="3019">
        <v>55.76</v>
      </c>
      <c r="G63" s="3019">
        <v>7.06</v>
      </c>
      <c r="H63" s="3016" t="s">
        <v>1373</v>
      </c>
      <c r="I63" s="3015" t="str">
        <f t="shared" si="1"/>
        <v>旅游用地</v>
      </c>
      <c r="J63" s="3010">
        <f t="shared" si="2"/>
        <v>56156</v>
      </c>
      <c r="K63" s="3007" t="str">
        <f t="shared" si="8"/>
        <v xml:space="preserve">10层 </v>
      </c>
      <c r="L63" s="3007" t="str">
        <f t="shared" si="8"/>
        <v>5层</v>
      </c>
      <c r="N63">
        <f t="shared" ca="1" si="0"/>
        <v>584030</v>
      </c>
    </row>
    <row r="64" spans="1:14" ht="24">
      <c r="A64" s="3015">
        <v>61</v>
      </c>
      <c r="B64" s="3015" t="s">
        <v>3149</v>
      </c>
      <c r="C64" s="3004" t="s">
        <v>4065</v>
      </c>
      <c r="D64" s="3007" t="s">
        <v>4066</v>
      </c>
      <c r="E64" s="3008" t="s">
        <v>4067</v>
      </c>
      <c r="F64" s="3019">
        <v>94.3</v>
      </c>
      <c r="G64" s="3019">
        <v>11.94</v>
      </c>
      <c r="H64" s="3016" t="s">
        <v>1373</v>
      </c>
      <c r="I64" s="3015" t="str">
        <f t="shared" si="1"/>
        <v>旅游用地</v>
      </c>
      <c r="J64" s="3010">
        <f t="shared" si="2"/>
        <v>56156</v>
      </c>
      <c r="K64" s="3007" t="str">
        <f t="shared" si="8"/>
        <v xml:space="preserve">10层 </v>
      </c>
      <c r="L64" s="3007" t="str">
        <f t="shared" si="8"/>
        <v>5层</v>
      </c>
      <c r="N64">
        <f t="shared" ca="1" si="0"/>
        <v>987698</v>
      </c>
    </row>
    <row r="65" spans="1:14" ht="24">
      <c r="A65" s="3015">
        <v>62</v>
      </c>
      <c r="B65" s="3015" t="s">
        <v>3150</v>
      </c>
      <c r="C65" s="3004" t="s">
        <v>3840</v>
      </c>
      <c r="D65" s="3007" t="s">
        <v>4068</v>
      </c>
      <c r="E65" s="3008" t="s">
        <v>4069</v>
      </c>
      <c r="F65" s="3019">
        <v>94.3</v>
      </c>
      <c r="G65" s="3019">
        <v>11.94</v>
      </c>
      <c r="H65" s="3016" t="s">
        <v>1373</v>
      </c>
      <c r="I65" s="3015" t="str">
        <f t="shared" si="1"/>
        <v>旅游用地</v>
      </c>
      <c r="J65" s="3010">
        <f t="shared" si="2"/>
        <v>56156</v>
      </c>
      <c r="K65" s="3007" t="str">
        <f t="shared" si="8"/>
        <v xml:space="preserve">10层 </v>
      </c>
      <c r="L65" s="3007" t="str">
        <f t="shared" si="8"/>
        <v>5层</v>
      </c>
      <c r="N65">
        <f t="shared" ca="1" si="0"/>
        <v>987698</v>
      </c>
    </row>
    <row r="66" spans="1:14" ht="24">
      <c r="A66" s="3015">
        <v>63</v>
      </c>
      <c r="B66" s="3015" t="s">
        <v>3151</v>
      </c>
      <c r="C66" s="3004" t="s">
        <v>4070</v>
      </c>
      <c r="D66" s="3007" t="s">
        <v>4071</v>
      </c>
      <c r="E66" s="3008" t="s">
        <v>4072</v>
      </c>
      <c r="F66" s="3019">
        <v>55.76</v>
      </c>
      <c r="G66" s="3019">
        <v>7.06</v>
      </c>
      <c r="H66" s="3016" t="s">
        <v>1373</v>
      </c>
      <c r="I66" s="3015" t="str">
        <f t="shared" si="1"/>
        <v>旅游用地</v>
      </c>
      <c r="J66" s="3010">
        <f t="shared" si="2"/>
        <v>56156</v>
      </c>
      <c r="K66" s="3007" t="str">
        <f t="shared" si="8"/>
        <v xml:space="preserve">10层 </v>
      </c>
      <c r="L66" s="3007" t="str">
        <f t="shared" si="8"/>
        <v>5层</v>
      </c>
      <c r="N66">
        <f t="shared" ca="1" si="0"/>
        <v>584030</v>
      </c>
    </row>
    <row r="67" spans="1:14" ht="24">
      <c r="A67" s="3015">
        <v>64</v>
      </c>
      <c r="B67" s="3015" t="s">
        <v>3152</v>
      </c>
      <c r="C67" s="3004" t="s">
        <v>4073</v>
      </c>
      <c r="D67" s="3007" t="s">
        <v>4074</v>
      </c>
      <c r="E67" s="3008" t="s">
        <v>4075</v>
      </c>
      <c r="F67" s="3019">
        <v>65.41</v>
      </c>
      <c r="G67" s="3019">
        <v>8.2799999999999994</v>
      </c>
      <c r="H67" s="3016" t="s">
        <v>1373</v>
      </c>
      <c r="I67" s="3015" t="str">
        <f t="shared" si="1"/>
        <v>旅游用地</v>
      </c>
      <c r="J67" s="3010">
        <f t="shared" si="2"/>
        <v>56156</v>
      </c>
      <c r="K67" s="3007" t="str">
        <f t="shared" si="8"/>
        <v xml:space="preserve">10层 </v>
      </c>
      <c r="L67" s="3007" t="str">
        <f t="shared" si="8"/>
        <v>5层</v>
      </c>
      <c r="N67">
        <f t="shared" ca="1" si="0"/>
        <v>685104</v>
      </c>
    </row>
    <row r="68" spans="1:14" ht="24">
      <c r="A68" s="3015">
        <v>65</v>
      </c>
      <c r="B68" s="3015" t="s">
        <v>3153</v>
      </c>
      <c r="C68" s="3004" t="s">
        <v>3993</v>
      </c>
      <c r="D68" s="3007" t="s">
        <v>4076</v>
      </c>
      <c r="E68" s="3008" t="s">
        <v>4077</v>
      </c>
      <c r="F68" s="3019">
        <v>52.89</v>
      </c>
      <c r="G68" s="3019">
        <v>6.7</v>
      </c>
      <c r="H68" s="3016" t="s">
        <v>1373</v>
      </c>
      <c r="I68" s="3015" t="str">
        <f t="shared" si="1"/>
        <v>旅游用地</v>
      </c>
      <c r="J68" s="3010">
        <f t="shared" si="2"/>
        <v>56156</v>
      </c>
      <c r="K68" s="3007" t="str">
        <f t="shared" si="8"/>
        <v xml:space="preserve">10层 </v>
      </c>
      <c r="L68" s="3007" t="str">
        <f t="shared" si="8"/>
        <v>5层</v>
      </c>
      <c r="N68">
        <f t="shared" ca="1" si="0"/>
        <v>553970</v>
      </c>
    </row>
    <row r="69" spans="1:14" ht="24">
      <c r="A69" s="3015">
        <v>66</v>
      </c>
      <c r="B69" s="3015" t="s">
        <v>3154</v>
      </c>
      <c r="C69" s="3004" t="s">
        <v>3993</v>
      </c>
      <c r="D69" s="3007" t="s">
        <v>4078</v>
      </c>
      <c r="E69" s="3008" t="s">
        <v>4079</v>
      </c>
      <c r="F69" s="3019">
        <v>52.53</v>
      </c>
      <c r="G69" s="3019">
        <v>6.65</v>
      </c>
      <c r="H69" s="3016" t="s">
        <v>1373</v>
      </c>
      <c r="I69" s="3015" t="str">
        <f t="shared" si="1"/>
        <v>旅游用地</v>
      </c>
      <c r="J69" s="3010">
        <f t="shared" si="2"/>
        <v>56156</v>
      </c>
      <c r="K69" s="3007" t="str">
        <f t="shared" si="8"/>
        <v xml:space="preserve">10层 </v>
      </c>
      <c r="L69" s="3007" t="str">
        <f t="shared" si="8"/>
        <v>5层</v>
      </c>
      <c r="N69">
        <f t="shared" ref="N69:N122" ca="1" si="9">ROUND(F69*$M$4,0)</f>
        <v>550199</v>
      </c>
    </row>
    <row r="70" spans="1:14" ht="24">
      <c r="A70" s="3015">
        <v>67</v>
      </c>
      <c r="B70" s="3015" t="s">
        <v>3155</v>
      </c>
      <c r="C70" s="3004" t="s">
        <v>3934</v>
      </c>
      <c r="D70" s="3007" t="s">
        <v>4080</v>
      </c>
      <c r="E70" s="3008" t="s">
        <v>4081</v>
      </c>
      <c r="F70" s="3019">
        <v>52.64</v>
      </c>
      <c r="G70" s="3019">
        <v>6.67</v>
      </c>
      <c r="H70" s="3016" t="s">
        <v>1373</v>
      </c>
      <c r="I70" s="3015" t="str">
        <f t="shared" ref="I70:I122" si="10">I69</f>
        <v>旅游用地</v>
      </c>
      <c r="J70" s="3010">
        <f t="shared" ref="J70:J122" si="11">$J$4</f>
        <v>56156</v>
      </c>
      <c r="K70" s="3007" t="str">
        <f t="shared" si="8"/>
        <v xml:space="preserve">10层 </v>
      </c>
      <c r="L70" s="3007" t="str">
        <f t="shared" si="8"/>
        <v>5层</v>
      </c>
      <c r="N70">
        <f t="shared" ca="1" si="9"/>
        <v>551351</v>
      </c>
    </row>
    <row r="71" spans="1:14" ht="24">
      <c r="A71" s="3015">
        <v>68</v>
      </c>
      <c r="B71" s="3015" t="s">
        <v>3156</v>
      </c>
      <c r="C71" s="3004" t="s">
        <v>3431</v>
      </c>
      <c r="D71" s="3007" t="s">
        <v>4082</v>
      </c>
      <c r="E71" s="3008" t="s">
        <v>4083</v>
      </c>
      <c r="F71" s="3019">
        <v>72.040000000000006</v>
      </c>
      <c r="G71" s="3019">
        <v>9.1199999999999992</v>
      </c>
      <c r="H71" s="3016" t="s">
        <v>1373</v>
      </c>
      <c r="I71" s="3015" t="str">
        <f t="shared" si="10"/>
        <v>旅游用地</v>
      </c>
      <c r="J71" s="3010">
        <f t="shared" si="11"/>
        <v>56156</v>
      </c>
      <c r="K71" s="3007" t="str">
        <f t="shared" si="8"/>
        <v xml:space="preserve">10层 </v>
      </c>
      <c r="L71" s="3007" t="str">
        <f t="shared" si="8"/>
        <v>5层</v>
      </c>
      <c r="N71">
        <f t="shared" ca="1" si="9"/>
        <v>754547</v>
      </c>
    </row>
    <row r="72" spans="1:14" ht="24">
      <c r="A72" s="3015">
        <v>69</v>
      </c>
      <c r="B72" s="3015" t="s">
        <v>3164</v>
      </c>
      <c r="C72" s="3004" t="s">
        <v>3431</v>
      </c>
      <c r="D72" s="3007" t="s">
        <v>4084</v>
      </c>
      <c r="E72" s="3008" t="s">
        <v>4085</v>
      </c>
      <c r="F72" s="3019">
        <v>68.13</v>
      </c>
      <c r="G72" s="3019">
        <v>8.6300000000000008</v>
      </c>
      <c r="H72" s="3016" t="s">
        <v>1373</v>
      </c>
      <c r="I72" s="3015" t="str">
        <f t="shared" si="10"/>
        <v>旅游用地</v>
      </c>
      <c r="J72" s="3010">
        <f t="shared" si="11"/>
        <v>56156</v>
      </c>
      <c r="K72" s="3007" t="str">
        <f t="shared" si="8"/>
        <v xml:space="preserve">10层 </v>
      </c>
      <c r="L72" s="3007" t="s">
        <v>4086</v>
      </c>
      <c r="N72">
        <f t="shared" ca="1" si="9"/>
        <v>713594</v>
      </c>
    </row>
    <row r="73" spans="1:14" ht="24">
      <c r="A73" s="3015">
        <v>70</v>
      </c>
      <c r="B73" s="3015" t="s">
        <v>3165</v>
      </c>
      <c r="C73" s="3004" t="s">
        <v>3431</v>
      </c>
      <c r="D73" s="3007" t="s">
        <v>4087</v>
      </c>
      <c r="E73" s="3008" t="s">
        <v>4088</v>
      </c>
      <c r="F73" s="3019">
        <v>52.64</v>
      </c>
      <c r="G73" s="3019">
        <v>6.67</v>
      </c>
      <c r="H73" s="3016" t="s">
        <v>1373</v>
      </c>
      <c r="I73" s="3015" t="str">
        <f t="shared" si="10"/>
        <v>旅游用地</v>
      </c>
      <c r="J73" s="3010">
        <f t="shared" si="11"/>
        <v>56156</v>
      </c>
      <c r="K73" s="3007" t="str">
        <f t="shared" si="8"/>
        <v xml:space="preserve">10层 </v>
      </c>
      <c r="L73" s="3007" t="str">
        <f>L72</f>
        <v>6层</v>
      </c>
      <c r="N73">
        <f t="shared" ca="1" si="9"/>
        <v>551351</v>
      </c>
    </row>
    <row r="74" spans="1:14" ht="24">
      <c r="A74" s="3015">
        <v>71</v>
      </c>
      <c r="B74" s="3015" t="s">
        <v>3166</v>
      </c>
      <c r="C74" s="3004" t="s">
        <v>3431</v>
      </c>
      <c r="D74" s="3007" t="s">
        <v>4089</v>
      </c>
      <c r="E74" s="3008" t="s">
        <v>4090</v>
      </c>
      <c r="F74" s="3019">
        <v>52.53</v>
      </c>
      <c r="G74" s="3019">
        <v>6.65</v>
      </c>
      <c r="H74" s="3016" t="s">
        <v>1373</v>
      </c>
      <c r="I74" s="3015" t="str">
        <f t="shared" si="10"/>
        <v>旅游用地</v>
      </c>
      <c r="J74" s="3010">
        <f t="shared" si="11"/>
        <v>56156</v>
      </c>
      <c r="K74" s="3007" t="str">
        <f t="shared" si="8"/>
        <v xml:space="preserve">10层 </v>
      </c>
      <c r="L74" s="3007" t="str">
        <f t="shared" si="8"/>
        <v>6层</v>
      </c>
      <c r="N74">
        <f t="shared" ca="1" si="9"/>
        <v>550199</v>
      </c>
    </row>
    <row r="75" spans="1:14" ht="24">
      <c r="A75" s="3015">
        <v>72</v>
      </c>
      <c r="B75" s="3015" t="s">
        <v>3167</v>
      </c>
      <c r="C75" s="3004" t="s">
        <v>3431</v>
      </c>
      <c r="D75" s="3007" t="s">
        <v>4091</v>
      </c>
      <c r="E75" s="3008" t="s">
        <v>4092</v>
      </c>
      <c r="F75" s="3019">
        <v>52.89</v>
      </c>
      <c r="G75" s="3019">
        <v>6.7</v>
      </c>
      <c r="H75" s="3016" t="s">
        <v>1373</v>
      </c>
      <c r="I75" s="3015" t="str">
        <f t="shared" si="10"/>
        <v>旅游用地</v>
      </c>
      <c r="J75" s="3010">
        <f t="shared" si="11"/>
        <v>56156</v>
      </c>
      <c r="K75" s="3007" t="str">
        <f t="shared" si="8"/>
        <v xml:space="preserve">10层 </v>
      </c>
      <c r="L75" s="3007" t="str">
        <f t="shared" si="8"/>
        <v>6层</v>
      </c>
      <c r="N75">
        <f t="shared" ca="1" si="9"/>
        <v>553970</v>
      </c>
    </row>
    <row r="76" spans="1:14" ht="24">
      <c r="A76" s="3015">
        <v>73</v>
      </c>
      <c r="B76" s="3015" t="s">
        <v>3168</v>
      </c>
      <c r="C76" s="3004" t="s">
        <v>3431</v>
      </c>
      <c r="D76" s="3007" t="s">
        <v>4093</v>
      </c>
      <c r="E76" s="3008" t="s">
        <v>4094</v>
      </c>
      <c r="F76" s="3019">
        <v>65.41</v>
      </c>
      <c r="G76" s="3019">
        <v>8.2799999999999994</v>
      </c>
      <c r="H76" s="3016" t="s">
        <v>1373</v>
      </c>
      <c r="I76" s="3015" t="str">
        <f t="shared" si="10"/>
        <v>旅游用地</v>
      </c>
      <c r="J76" s="3010">
        <f t="shared" si="11"/>
        <v>56156</v>
      </c>
      <c r="K76" s="3007" t="str">
        <f t="shared" si="8"/>
        <v xml:space="preserve">10层 </v>
      </c>
      <c r="L76" s="3007" t="str">
        <f t="shared" si="8"/>
        <v>6层</v>
      </c>
      <c r="N76">
        <f t="shared" ca="1" si="9"/>
        <v>685104</v>
      </c>
    </row>
    <row r="77" spans="1:14" ht="24">
      <c r="A77" s="3015">
        <v>74</v>
      </c>
      <c r="B77" s="3015" t="s">
        <v>3169</v>
      </c>
      <c r="C77" s="3004" t="s">
        <v>3431</v>
      </c>
      <c r="D77" s="3007" t="s">
        <v>4095</v>
      </c>
      <c r="E77" s="3008" t="s">
        <v>4096</v>
      </c>
      <c r="F77" s="3019">
        <v>55.76</v>
      </c>
      <c r="G77" s="3019">
        <v>7.06</v>
      </c>
      <c r="H77" s="3016" t="s">
        <v>1373</v>
      </c>
      <c r="I77" s="3015" t="str">
        <f t="shared" si="10"/>
        <v>旅游用地</v>
      </c>
      <c r="J77" s="3010">
        <f t="shared" si="11"/>
        <v>56156</v>
      </c>
      <c r="K77" s="3007" t="str">
        <f t="shared" ref="K77:L92" si="12">K76</f>
        <v xml:space="preserve">10层 </v>
      </c>
      <c r="L77" s="3007" t="str">
        <f t="shared" si="12"/>
        <v>6层</v>
      </c>
      <c r="N77">
        <f t="shared" ca="1" si="9"/>
        <v>584030</v>
      </c>
    </row>
    <row r="78" spans="1:14" ht="24">
      <c r="A78" s="3015">
        <v>75</v>
      </c>
      <c r="B78" s="3015" t="s">
        <v>3170</v>
      </c>
      <c r="C78" s="3004" t="s">
        <v>3527</v>
      </c>
      <c r="D78" s="3007" t="s">
        <v>4097</v>
      </c>
      <c r="E78" s="3008" t="s">
        <v>4098</v>
      </c>
      <c r="F78" s="3019">
        <v>94.3</v>
      </c>
      <c r="G78" s="3019">
        <v>11.94</v>
      </c>
      <c r="H78" s="3016" t="s">
        <v>1373</v>
      </c>
      <c r="I78" s="3015" t="str">
        <f t="shared" si="10"/>
        <v>旅游用地</v>
      </c>
      <c r="J78" s="3010">
        <f t="shared" si="11"/>
        <v>56156</v>
      </c>
      <c r="K78" s="3007" t="str">
        <f t="shared" si="12"/>
        <v xml:space="preserve">10层 </v>
      </c>
      <c r="L78" s="3007" t="str">
        <f t="shared" si="12"/>
        <v>6层</v>
      </c>
      <c r="N78">
        <f t="shared" ca="1" si="9"/>
        <v>987698</v>
      </c>
    </row>
    <row r="79" spans="1:14" ht="24">
      <c r="A79" s="3015">
        <v>76</v>
      </c>
      <c r="B79" s="3015" t="s">
        <v>3171</v>
      </c>
      <c r="C79" s="3004" t="s">
        <v>3527</v>
      </c>
      <c r="D79" s="3007" t="s">
        <v>4099</v>
      </c>
      <c r="E79" s="3008" t="s">
        <v>4100</v>
      </c>
      <c r="F79" s="3019">
        <v>94.3</v>
      </c>
      <c r="G79" s="3019">
        <v>11.94</v>
      </c>
      <c r="H79" s="3016" t="s">
        <v>1373</v>
      </c>
      <c r="I79" s="3015" t="str">
        <f t="shared" si="10"/>
        <v>旅游用地</v>
      </c>
      <c r="J79" s="3010">
        <f t="shared" si="11"/>
        <v>56156</v>
      </c>
      <c r="K79" s="3007" t="str">
        <f t="shared" si="12"/>
        <v xml:space="preserve">10层 </v>
      </c>
      <c r="L79" s="3007" t="str">
        <f t="shared" si="12"/>
        <v>6层</v>
      </c>
      <c r="N79">
        <f t="shared" ca="1" si="9"/>
        <v>987698</v>
      </c>
    </row>
    <row r="80" spans="1:14" ht="24">
      <c r="A80" s="3015">
        <v>77</v>
      </c>
      <c r="B80" s="3015" t="s">
        <v>3172</v>
      </c>
      <c r="C80" s="3004" t="s">
        <v>3840</v>
      </c>
      <c r="D80" s="3007" t="s">
        <v>4101</v>
      </c>
      <c r="E80" s="3008" t="s">
        <v>4102</v>
      </c>
      <c r="F80" s="3019">
        <v>55.76</v>
      </c>
      <c r="G80" s="3019">
        <v>7.06</v>
      </c>
      <c r="H80" s="3016" t="s">
        <v>1373</v>
      </c>
      <c r="I80" s="3015" t="str">
        <f t="shared" si="10"/>
        <v>旅游用地</v>
      </c>
      <c r="J80" s="3010">
        <f t="shared" si="11"/>
        <v>56156</v>
      </c>
      <c r="K80" s="3007" t="str">
        <f t="shared" si="12"/>
        <v xml:space="preserve">10层 </v>
      </c>
      <c r="L80" s="3007" t="str">
        <f t="shared" si="12"/>
        <v>6层</v>
      </c>
      <c r="N80">
        <f t="shared" ca="1" si="9"/>
        <v>584030</v>
      </c>
    </row>
    <row r="81" spans="1:14" ht="24">
      <c r="A81" s="3015">
        <v>78</v>
      </c>
      <c r="B81" s="3015" t="s">
        <v>3173</v>
      </c>
      <c r="C81" s="3004" t="s">
        <v>3527</v>
      </c>
      <c r="D81" s="3007" t="s">
        <v>4103</v>
      </c>
      <c r="E81" s="3008" t="s">
        <v>4104</v>
      </c>
      <c r="F81" s="3019">
        <v>65.41</v>
      </c>
      <c r="G81" s="3019">
        <v>8.2799999999999994</v>
      </c>
      <c r="H81" s="3016" t="s">
        <v>1373</v>
      </c>
      <c r="I81" s="3015" t="str">
        <f t="shared" si="10"/>
        <v>旅游用地</v>
      </c>
      <c r="J81" s="3010">
        <f t="shared" si="11"/>
        <v>56156</v>
      </c>
      <c r="K81" s="3007" t="str">
        <f t="shared" si="12"/>
        <v xml:space="preserve">10层 </v>
      </c>
      <c r="L81" s="3007" t="str">
        <f t="shared" si="12"/>
        <v>6层</v>
      </c>
      <c r="N81">
        <f t="shared" ca="1" si="9"/>
        <v>685104</v>
      </c>
    </row>
    <row r="82" spans="1:14" ht="24">
      <c r="A82" s="3015">
        <v>79</v>
      </c>
      <c r="B82" s="3015" t="s">
        <v>3174</v>
      </c>
      <c r="C82" s="3004" t="s">
        <v>3527</v>
      </c>
      <c r="D82" s="3007" t="s">
        <v>4105</v>
      </c>
      <c r="E82" s="3008" t="s">
        <v>4106</v>
      </c>
      <c r="F82" s="3019">
        <v>52.89</v>
      </c>
      <c r="G82" s="3019">
        <v>6.7</v>
      </c>
      <c r="H82" s="3016" t="s">
        <v>1373</v>
      </c>
      <c r="I82" s="3015" t="str">
        <f t="shared" si="10"/>
        <v>旅游用地</v>
      </c>
      <c r="J82" s="3010">
        <f t="shared" si="11"/>
        <v>56156</v>
      </c>
      <c r="K82" s="3007" t="str">
        <f t="shared" si="12"/>
        <v xml:space="preserve">10层 </v>
      </c>
      <c r="L82" s="3007" t="str">
        <f t="shared" si="12"/>
        <v>6层</v>
      </c>
      <c r="N82">
        <f t="shared" ca="1" si="9"/>
        <v>553970</v>
      </c>
    </row>
    <row r="83" spans="1:14" ht="24">
      <c r="A83" s="3015">
        <v>80</v>
      </c>
      <c r="B83" s="3015" t="s">
        <v>3175</v>
      </c>
      <c r="C83" s="3004" t="s">
        <v>3993</v>
      </c>
      <c r="D83" s="3007" t="s">
        <v>4107</v>
      </c>
      <c r="E83" s="3008" t="s">
        <v>4108</v>
      </c>
      <c r="F83" s="3019">
        <v>52.53</v>
      </c>
      <c r="G83" s="3019">
        <v>6.65</v>
      </c>
      <c r="H83" s="3016" t="s">
        <v>1373</v>
      </c>
      <c r="I83" s="3015" t="str">
        <f t="shared" si="10"/>
        <v>旅游用地</v>
      </c>
      <c r="J83" s="3010">
        <f t="shared" si="11"/>
        <v>56156</v>
      </c>
      <c r="K83" s="3007" t="str">
        <f t="shared" si="12"/>
        <v xml:space="preserve">10层 </v>
      </c>
      <c r="L83" s="3007" t="str">
        <f t="shared" si="12"/>
        <v>6层</v>
      </c>
      <c r="N83">
        <f t="shared" ca="1" si="9"/>
        <v>550199</v>
      </c>
    </row>
    <row r="84" spans="1:14" ht="24">
      <c r="A84" s="3015">
        <v>81</v>
      </c>
      <c r="B84" s="3015" t="s">
        <v>3176</v>
      </c>
      <c r="C84" s="3004" t="s">
        <v>3993</v>
      </c>
      <c r="D84" s="3007" t="s">
        <v>4109</v>
      </c>
      <c r="E84" s="3008" t="s">
        <v>4110</v>
      </c>
      <c r="F84" s="3019">
        <v>52.64</v>
      </c>
      <c r="G84" s="3019">
        <v>6.67</v>
      </c>
      <c r="H84" s="3016" t="s">
        <v>1373</v>
      </c>
      <c r="I84" s="3015" t="str">
        <f t="shared" si="10"/>
        <v>旅游用地</v>
      </c>
      <c r="J84" s="3010">
        <f t="shared" si="11"/>
        <v>56156</v>
      </c>
      <c r="K84" s="3007" t="str">
        <f t="shared" si="12"/>
        <v xml:space="preserve">10层 </v>
      </c>
      <c r="L84" s="3007" t="str">
        <f t="shared" si="12"/>
        <v>6层</v>
      </c>
      <c r="N84">
        <f t="shared" ca="1" si="9"/>
        <v>551351</v>
      </c>
    </row>
    <row r="85" spans="1:14" ht="24">
      <c r="A85" s="3015">
        <v>82</v>
      </c>
      <c r="B85" s="3015" t="s">
        <v>3177</v>
      </c>
      <c r="C85" s="3004" t="s">
        <v>3527</v>
      </c>
      <c r="D85" s="3007" t="s">
        <v>4111</v>
      </c>
      <c r="E85" s="3008" t="s">
        <v>4112</v>
      </c>
      <c r="F85" s="3019">
        <v>72.040000000000006</v>
      </c>
      <c r="G85" s="3019">
        <v>9.1199999999999992</v>
      </c>
      <c r="H85" s="3016" t="s">
        <v>1373</v>
      </c>
      <c r="I85" s="3015" t="str">
        <f t="shared" si="10"/>
        <v>旅游用地</v>
      </c>
      <c r="J85" s="3010">
        <f t="shared" si="11"/>
        <v>56156</v>
      </c>
      <c r="K85" s="3007" t="str">
        <f t="shared" si="12"/>
        <v xml:space="preserve">10层 </v>
      </c>
      <c r="L85" s="3007" t="str">
        <f t="shared" si="12"/>
        <v>6层</v>
      </c>
      <c r="N85">
        <f t="shared" ca="1" si="9"/>
        <v>754547</v>
      </c>
    </row>
    <row r="86" spans="1:14" ht="24">
      <c r="A86" s="3015">
        <v>83</v>
      </c>
      <c r="B86" s="3015" t="s">
        <v>3185</v>
      </c>
      <c r="C86" s="3004" t="s">
        <v>4113</v>
      </c>
      <c r="D86" s="3007" t="s">
        <v>4114</v>
      </c>
      <c r="E86" s="3008" t="s">
        <v>4115</v>
      </c>
      <c r="F86" s="3019">
        <v>68.5</v>
      </c>
      <c r="G86" s="3019">
        <v>8.68</v>
      </c>
      <c r="H86" s="3016" t="s">
        <v>1373</v>
      </c>
      <c r="I86" s="3015" t="str">
        <f t="shared" si="10"/>
        <v>旅游用地</v>
      </c>
      <c r="J86" s="3010">
        <f t="shared" si="11"/>
        <v>56156</v>
      </c>
      <c r="K86" s="3007" t="str">
        <f t="shared" si="12"/>
        <v xml:space="preserve">10层 </v>
      </c>
      <c r="L86" s="3007" t="s">
        <v>4116</v>
      </c>
      <c r="N86">
        <f t="shared" ca="1" si="9"/>
        <v>717469</v>
      </c>
    </row>
    <row r="87" spans="1:14" ht="24">
      <c r="A87" s="3015">
        <v>84</v>
      </c>
      <c r="B87" s="3015" t="s">
        <v>3186</v>
      </c>
      <c r="C87" s="3004" t="s">
        <v>3993</v>
      </c>
      <c r="D87" s="3007" t="s">
        <v>4117</v>
      </c>
      <c r="E87" s="3008" t="s">
        <v>4118</v>
      </c>
      <c r="F87" s="3019">
        <v>52.92</v>
      </c>
      <c r="G87" s="3019">
        <v>6.7</v>
      </c>
      <c r="H87" s="3016" t="s">
        <v>1373</v>
      </c>
      <c r="I87" s="3015" t="str">
        <f t="shared" si="10"/>
        <v>旅游用地</v>
      </c>
      <c r="J87" s="3010">
        <f t="shared" si="11"/>
        <v>56156</v>
      </c>
      <c r="K87" s="3007" t="str">
        <f t="shared" si="12"/>
        <v xml:space="preserve">10层 </v>
      </c>
      <c r="L87" s="3007" t="str">
        <f>L86</f>
        <v>7层</v>
      </c>
      <c r="N87">
        <f t="shared" ca="1" si="9"/>
        <v>554284</v>
      </c>
    </row>
    <row r="88" spans="1:14" ht="24">
      <c r="A88" s="3015">
        <v>85</v>
      </c>
      <c r="B88" s="3015" t="s">
        <v>3187</v>
      </c>
      <c r="C88" s="3004" t="s">
        <v>3527</v>
      </c>
      <c r="D88" s="3007" t="s">
        <v>4119</v>
      </c>
      <c r="E88" s="3008" t="s">
        <v>4120</v>
      </c>
      <c r="F88" s="3019">
        <v>52.81</v>
      </c>
      <c r="G88" s="3019">
        <v>6.69</v>
      </c>
      <c r="H88" s="3016" t="s">
        <v>1373</v>
      </c>
      <c r="I88" s="3015" t="str">
        <f t="shared" si="10"/>
        <v>旅游用地</v>
      </c>
      <c r="J88" s="3010">
        <f t="shared" si="11"/>
        <v>56156</v>
      </c>
      <c r="K88" s="3007" t="str">
        <f t="shared" si="12"/>
        <v xml:space="preserve">10层 </v>
      </c>
      <c r="L88" s="3007" t="str">
        <f t="shared" si="12"/>
        <v>7层</v>
      </c>
      <c r="N88">
        <f t="shared" ca="1" si="9"/>
        <v>553132</v>
      </c>
    </row>
    <row r="89" spans="1:14" ht="24">
      <c r="A89" s="3015">
        <v>86</v>
      </c>
      <c r="B89" s="3015" t="s">
        <v>3188</v>
      </c>
      <c r="C89" s="3004" t="s">
        <v>3527</v>
      </c>
      <c r="D89" s="3007" t="s">
        <v>4121</v>
      </c>
      <c r="E89" s="3008" t="s">
        <v>4122</v>
      </c>
      <c r="F89" s="3019">
        <v>53.17</v>
      </c>
      <c r="G89" s="3019">
        <v>6.73</v>
      </c>
      <c r="H89" s="3016" t="s">
        <v>1373</v>
      </c>
      <c r="I89" s="3015" t="str">
        <f t="shared" si="10"/>
        <v>旅游用地</v>
      </c>
      <c r="J89" s="3010">
        <f t="shared" si="11"/>
        <v>56156</v>
      </c>
      <c r="K89" s="3007" t="str">
        <f t="shared" si="12"/>
        <v xml:space="preserve">10层 </v>
      </c>
      <c r="L89" s="3007" t="str">
        <f t="shared" si="12"/>
        <v>7层</v>
      </c>
      <c r="N89">
        <f t="shared" ca="1" si="9"/>
        <v>556903</v>
      </c>
    </row>
    <row r="90" spans="1:14" ht="24">
      <c r="A90" s="3015">
        <v>87</v>
      </c>
      <c r="B90" s="3015" t="s">
        <v>3189</v>
      </c>
      <c r="C90" s="3004" t="s">
        <v>3527</v>
      </c>
      <c r="D90" s="3007" t="s">
        <v>4123</v>
      </c>
      <c r="E90" s="3008" t="s">
        <v>4124</v>
      </c>
      <c r="F90" s="3019">
        <v>65.760000000000005</v>
      </c>
      <c r="G90" s="3019">
        <v>8.33</v>
      </c>
      <c r="H90" s="3016" t="s">
        <v>1373</v>
      </c>
      <c r="I90" s="3015" t="str">
        <f t="shared" si="10"/>
        <v>旅游用地</v>
      </c>
      <c r="J90" s="3010">
        <f t="shared" si="11"/>
        <v>56156</v>
      </c>
      <c r="K90" s="3007" t="str">
        <f t="shared" si="12"/>
        <v xml:space="preserve">10层 </v>
      </c>
      <c r="L90" s="3007" t="str">
        <f t="shared" si="12"/>
        <v>7层</v>
      </c>
      <c r="N90">
        <f t="shared" ca="1" si="9"/>
        <v>688770</v>
      </c>
    </row>
    <row r="91" spans="1:14" ht="24">
      <c r="A91" s="3015">
        <v>88</v>
      </c>
      <c r="B91" s="3015" t="s">
        <v>3194</v>
      </c>
      <c r="C91" s="3004" t="s">
        <v>3527</v>
      </c>
      <c r="D91" s="3007" t="s">
        <v>4125</v>
      </c>
      <c r="E91" s="3008" t="s">
        <v>4126</v>
      </c>
      <c r="F91" s="3019">
        <v>65.760000000000005</v>
      </c>
      <c r="G91" s="3019">
        <v>8.33</v>
      </c>
      <c r="H91" s="3016" t="s">
        <v>1373</v>
      </c>
      <c r="I91" s="3015" t="str">
        <f t="shared" si="10"/>
        <v>旅游用地</v>
      </c>
      <c r="J91" s="3010">
        <f t="shared" si="11"/>
        <v>56156</v>
      </c>
      <c r="K91" s="3007" t="str">
        <f t="shared" si="12"/>
        <v xml:space="preserve">10层 </v>
      </c>
      <c r="L91" s="3007" t="str">
        <f t="shared" si="12"/>
        <v>7层</v>
      </c>
      <c r="N91">
        <f t="shared" ca="1" si="9"/>
        <v>688770</v>
      </c>
    </row>
    <row r="92" spans="1:14" ht="24">
      <c r="A92" s="3015">
        <v>89</v>
      </c>
      <c r="B92" s="3015" t="s">
        <v>3195</v>
      </c>
      <c r="C92" s="3004" t="s">
        <v>3993</v>
      </c>
      <c r="D92" s="3007" t="s">
        <v>4127</v>
      </c>
      <c r="E92" s="3008" t="s">
        <v>4128</v>
      </c>
      <c r="F92" s="3019">
        <v>53.17</v>
      </c>
      <c r="G92" s="3019">
        <v>6.73</v>
      </c>
      <c r="H92" s="3016" t="s">
        <v>1373</v>
      </c>
      <c r="I92" s="3015" t="str">
        <f t="shared" si="10"/>
        <v>旅游用地</v>
      </c>
      <c r="J92" s="3010">
        <f t="shared" si="11"/>
        <v>56156</v>
      </c>
      <c r="K92" s="3007" t="str">
        <f t="shared" si="12"/>
        <v xml:space="preserve">10层 </v>
      </c>
      <c r="L92" s="3007" t="str">
        <f t="shared" si="12"/>
        <v>7层</v>
      </c>
      <c r="N92">
        <f t="shared" ca="1" si="9"/>
        <v>556903</v>
      </c>
    </row>
    <row r="93" spans="1:14" ht="24">
      <c r="A93" s="3015">
        <v>90</v>
      </c>
      <c r="B93" s="3015" t="s">
        <v>3196</v>
      </c>
      <c r="C93" s="3004" t="s">
        <v>3993</v>
      </c>
      <c r="D93" s="3007" t="s">
        <v>4129</v>
      </c>
      <c r="E93" s="3008" t="s">
        <v>4130</v>
      </c>
      <c r="F93" s="3019">
        <v>52.81</v>
      </c>
      <c r="G93" s="3019">
        <v>6.69</v>
      </c>
      <c r="H93" s="3016" t="s">
        <v>1373</v>
      </c>
      <c r="I93" s="3015" t="str">
        <f t="shared" si="10"/>
        <v>旅游用地</v>
      </c>
      <c r="J93" s="3010">
        <f t="shared" si="11"/>
        <v>56156</v>
      </c>
      <c r="K93" s="3007" t="str">
        <f t="shared" ref="K93:L108" si="13">K92</f>
        <v xml:space="preserve">10层 </v>
      </c>
      <c r="L93" s="3007" t="str">
        <f t="shared" si="13"/>
        <v>7层</v>
      </c>
      <c r="N93">
        <f t="shared" ca="1" si="9"/>
        <v>553132</v>
      </c>
    </row>
    <row r="94" spans="1:14" ht="24">
      <c r="A94" s="3015">
        <v>91</v>
      </c>
      <c r="B94" s="3015" t="s">
        <v>3197</v>
      </c>
      <c r="C94" s="3004" t="s">
        <v>4002</v>
      </c>
      <c r="D94" s="3007" t="s">
        <v>4131</v>
      </c>
      <c r="E94" s="3008" t="s">
        <v>4132</v>
      </c>
      <c r="F94" s="3019">
        <v>52.92</v>
      </c>
      <c r="G94" s="3019">
        <v>6.7</v>
      </c>
      <c r="H94" s="3016" t="s">
        <v>1373</v>
      </c>
      <c r="I94" s="3015" t="str">
        <f t="shared" si="10"/>
        <v>旅游用地</v>
      </c>
      <c r="J94" s="3010">
        <f t="shared" si="11"/>
        <v>56156</v>
      </c>
      <c r="K94" s="3007" t="str">
        <f t="shared" si="13"/>
        <v xml:space="preserve">10层 </v>
      </c>
      <c r="L94" s="3007" t="str">
        <f t="shared" si="13"/>
        <v>7层</v>
      </c>
      <c r="N94">
        <f t="shared" ca="1" si="9"/>
        <v>554284</v>
      </c>
    </row>
    <row r="95" spans="1:14" ht="24">
      <c r="A95" s="3015">
        <v>92</v>
      </c>
      <c r="B95" s="3015" t="s">
        <v>3198</v>
      </c>
      <c r="C95" s="3004" t="s">
        <v>3934</v>
      </c>
      <c r="D95" s="3007" t="s">
        <v>4133</v>
      </c>
      <c r="E95" s="3008" t="s">
        <v>4134</v>
      </c>
      <c r="F95" s="3019">
        <v>72.42</v>
      </c>
      <c r="G95" s="3019">
        <v>9.17</v>
      </c>
      <c r="H95" s="3016" t="s">
        <v>1373</v>
      </c>
      <c r="I95" s="3015" t="str">
        <f t="shared" si="10"/>
        <v>旅游用地</v>
      </c>
      <c r="J95" s="3010">
        <f t="shared" si="11"/>
        <v>56156</v>
      </c>
      <c r="K95" s="3007" t="str">
        <f t="shared" si="13"/>
        <v xml:space="preserve">10层 </v>
      </c>
      <c r="L95" s="3007" t="str">
        <f t="shared" si="13"/>
        <v>7层</v>
      </c>
      <c r="N95">
        <f t="shared" ca="1" si="9"/>
        <v>758527</v>
      </c>
    </row>
    <row r="96" spans="1:14" ht="24">
      <c r="A96" s="3015">
        <v>93</v>
      </c>
      <c r="B96" s="3015" t="s">
        <v>3206</v>
      </c>
      <c r="C96" s="3004" t="s">
        <v>4047</v>
      </c>
      <c r="D96" s="3007" t="s">
        <v>4135</v>
      </c>
      <c r="E96" s="3008" t="s">
        <v>4136</v>
      </c>
      <c r="F96" s="3019">
        <v>68.849999999999994</v>
      </c>
      <c r="G96" s="3019">
        <v>8.7200000000000006</v>
      </c>
      <c r="H96" s="3016" t="s">
        <v>1373</v>
      </c>
      <c r="I96" s="3015" t="str">
        <f t="shared" si="10"/>
        <v>旅游用地</v>
      </c>
      <c r="J96" s="3010">
        <f t="shared" si="11"/>
        <v>56156</v>
      </c>
      <c r="K96" s="3007" t="str">
        <f t="shared" si="13"/>
        <v xml:space="preserve">10层 </v>
      </c>
      <c r="L96" s="3007" t="s">
        <v>4137</v>
      </c>
      <c r="N96">
        <f t="shared" ca="1" si="9"/>
        <v>721135</v>
      </c>
    </row>
    <row r="97" spans="1:14" ht="24">
      <c r="A97" s="3015">
        <v>94</v>
      </c>
      <c r="B97" s="3015" t="s">
        <v>3207</v>
      </c>
      <c r="C97" s="3004" t="s">
        <v>4138</v>
      </c>
      <c r="D97" s="3007" t="s">
        <v>4139</v>
      </c>
      <c r="E97" s="3008" t="s">
        <v>4140</v>
      </c>
      <c r="F97" s="3019">
        <v>53.19</v>
      </c>
      <c r="G97" s="3019">
        <v>6.74</v>
      </c>
      <c r="H97" s="3016" t="s">
        <v>1373</v>
      </c>
      <c r="I97" s="3015" t="str">
        <f t="shared" si="10"/>
        <v>旅游用地</v>
      </c>
      <c r="J97" s="3010">
        <f t="shared" si="11"/>
        <v>56156</v>
      </c>
      <c r="K97" s="3007" t="str">
        <f t="shared" si="13"/>
        <v xml:space="preserve">10层 </v>
      </c>
      <c r="L97" s="3007" t="str">
        <f>L96</f>
        <v>8层</v>
      </c>
      <c r="N97">
        <f t="shared" ca="1" si="9"/>
        <v>557112</v>
      </c>
    </row>
    <row r="98" spans="1:14" ht="24">
      <c r="A98" s="3015">
        <v>95</v>
      </c>
      <c r="B98" s="3015" t="s">
        <v>3208</v>
      </c>
      <c r="C98" s="3004" t="s">
        <v>3999</v>
      </c>
      <c r="D98" s="3007" t="s">
        <v>4141</v>
      </c>
      <c r="E98" s="3008" t="s">
        <v>4142</v>
      </c>
      <c r="F98" s="3019">
        <v>53.08</v>
      </c>
      <c r="G98" s="3019">
        <v>6.72</v>
      </c>
      <c r="H98" s="3016" t="s">
        <v>1373</v>
      </c>
      <c r="I98" s="3015" t="str">
        <f t="shared" si="10"/>
        <v>旅游用地</v>
      </c>
      <c r="J98" s="3010">
        <f t="shared" si="11"/>
        <v>56156</v>
      </c>
      <c r="K98" s="3007" t="str">
        <f t="shared" si="13"/>
        <v xml:space="preserve">10层 </v>
      </c>
      <c r="L98" s="3007" t="str">
        <f t="shared" si="13"/>
        <v>8层</v>
      </c>
      <c r="N98">
        <f t="shared" ca="1" si="9"/>
        <v>555960</v>
      </c>
    </row>
    <row r="99" spans="1:14" ht="24">
      <c r="A99" s="3015">
        <v>96</v>
      </c>
      <c r="B99" s="3015" t="s">
        <v>3209</v>
      </c>
      <c r="C99" s="3004" t="s">
        <v>3431</v>
      </c>
      <c r="D99" s="3007" t="s">
        <v>4143</v>
      </c>
      <c r="E99" s="3008" t="s">
        <v>4144</v>
      </c>
      <c r="F99" s="3019">
        <v>53.45</v>
      </c>
      <c r="G99" s="3019">
        <v>6.77</v>
      </c>
      <c r="H99" s="3016" t="s">
        <v>1373</v>
      </c>
      <c r="I99" s="3015" t="str">
        <f t="shared" si="10"/>
        <v>旅游用地</v>
      </c>
      <c r="J99" s="3010">
        <f t="shared" si="11"/>
        <v>56156</v>
      </c>
      <c r="K99" s="3007" t="str">
        <f t="shared" si="13"/>
        <v xml:space="preserve">10层 </v>
      </c>
      <c r="L99" s="3007" t="str">
        <f t="shared" si="13"/>
        <v>8层</v>
      </c>
      <c r="N99">
        <f t="shared" ca="1" si="9"/>
        <v>559835</v>
      </c>
    </row>
    <row r="100" spans="1:14" ht="24">
      <c r="A100" s="3015">
        <v>97</v>
      </c>
      <c r="B100" s="3015" t="s">
        <v>3210</v>
      </c>
      <c r="C100" s="3004" t="s">
        <v>3431</v>
      </c>
      <c r="D100" s="3007" t="s">
        <v>4145</v>
      </c>
      <c r="E100" s="3008" t="s">
        <v>4146</v>
      </c>
      <c r="F100" s="3019">
        <v>66.099999999999994</v>
      </c>
      <c r="G100" s="3019">
        <v>8.3699999999999992</v>
      </c>
      <c r="H100" s="3016" t="s">
        <v>1373</v>
      </c>
      <c r="I100" s="3015" t="str">
        <f t="shared" si="10"/>
        <v>旅游用地</v>
      </c>
      <c r="J100" s="3010">
        <f t="shared" si="11"/>
        <v>56156</v>
      </c>
      <c r="K100" s="3007" t="str">
        <f t="shared" si="13"/>
        <v xml:space="preserve">10层 </v>
      </c>
      <c r="L100" s="3007" t="str">
        <f t="shared" si="13"/>
        <v>8层</v>
      </c>
      <c r="N100">
        <f t="shared" ca="1" si="9"/>
        <v>692331</v>
      </c>
    </row>
    <row r="101" spans="1:14" ht="24">
      <c r="A101" s="3015">
        <v>98</v>
      </c>
      <c r="B101" s="3015" t="s">
        <v>3211</v>
      </c>
      <c r="C101" s="3004" t="s">
        <v>3996</v>
      </c>
      <c r="D101" s="3007" t="s">
        <v>4147</v>
      </c>
      <c r="E101" s="3008" t="s">
        <v>4148</v>
      </c>
      <c r="F101" s="3019">
        <v>44.89</v>
      </c>
      <c r="G101" s="3007">
        <v>5.68</v>
      </c>
      <c r="H101" s="3016" t="s">
        <v>1373</v>
      </c>
      <c r="I101" s="3015" t="str">
        <f t="shared" si="10"/>
        <v>旅游用地</v>
      </c>
      <c r="J101" s="3010">
        <f t="shared" si="11"/>
        <v>56156</v>
      </c>
      <c r="K101" s="3007" t="str">
        <f t="shared" si="13"/>
        <v xml:space="preserve">10层 </v>
      </c>
      <c r="L101" s="3007" t="str">
        <f t="shared" si="13"/>
        <v>8层</v>
      </c>
      <c r="N101">
        <f t="shared" ca="1" si="9"/>
        <v>470178</v>
      </c>
    </row>
    <row r="102" spans="1:14" ht="24">
      <c r="A102" s="3015">
        <v>99</v>
      </c>
      <c r="B102" s="3015" t="s">
        <v>3212</v>
      </c>
      <c r="C102" s="3004" t="s">
        <v>4047</v>
      </c>
      <c r="D102" s="3007" t="s">
        <v>4149</v>
      </c>
      <c r="E102" s="3008" t="s">
        <v>4150</v>
      </c>
      <c r="F102" s="3019">
        <v>58.08</v>
      </c>
      <c r="G102" s="3007">
        <v>7.36</v>
      </c>
      <c r="H102" s="3016" t="s">
        <v>1373</v>
      </c>
      <c r="I102" s="3015" t="str">
        <f t="shared" si="10"/>
        <v>旅游用地</v>
      </c>
      <c r="J102" s="3010">
        <f t="shared" si="11"/>
        <v>56156</v>
      </c>
      <c r="K102" s="3007" t="str">
        <f t="shared" si="13"/>
        <v xml:space="preserve">10层 </v>
      </c>
      <c r="L102" s="3007" t="str">
        <f t="shared" si="13"/>
        <v>8层</v>
      </c>
      <c r="N102">
        <f t="shared" ca="1" si="9"/>
        <v>608330</v>
      </c>
    </row>
    <row r="103" spans="1:14" ht="24">
      <c r="A103" s="3015">
        <v>100</v>
      </c>
      <c r="B103" s="3015" t="s">
        <v>3213</v>
      </c>
      <c r="C103" s="3004" t="s">
        <v>3840</v>
      </c>
      <c r="D103" s="3007" t="s">
        <v>4151</v>
      </c>
      <c r="E103" s="3008" t="s">
        <v>4152</v>
      </c>
      <c r="F103" s="3019">
        <v>58.08</v>
      </c>
      <c r="G103" s="3007">
        <v>7.36</v>
      </c>
      <c r="H103" s="3016" t="s">
        <v>1373</v>
      </c>
      <c r="I103" s="3015" t="str">
        <f t="shared" si="10"/>
        <v>旅游用地</v>
      </c>
      <c r="J103" s="3010">
        <f t="shared" si="11"/>
        <v>56156</v>
      </c>
      <c r="K103" s="3007" t="str">
        <f t="shared" si="13"/>
        <v xml:space="preserve">10层 </v>
      </c>
      <c r="L103" s="3007" t="str">
        <f t="shared" si="13"/>
        <v>8层</v>
      </c>
      <c r="N103">
        <f t="shared" ca="1" si="9"/>
        <v>608330</v>
      </c>
    </row>
    <row r="104" spans="1:14" ht="24">
      <c r="A104" s="3015">
        <v>101</v>
      </c>
      <c r="B104" s="3015" t="s">
        <v>3214</v>
      </c>
      <c r="C104" s="3004" t="s">
        <v>3840</v>
      </c>
      <c r="D104" s="3007" t="s">
        <v>4153</v>
      </c>
      <c r="E104" s="3008" t="s">
        <v>4154</v>
      </c>
      <c r="F104" s="3019">
        <v>44.89</v>
      </c>
      <c r="G104" s="3007">
        <v>5.68</v>
      </c>
      <c r="H104" s="3016" t="s">
        <v>1373</v>
      </c>
      <c r="I104" s="3015" t="str">
        <f t="shared" si="10"/>
        <v>旅游用地</v>
      </c>
      <c r="J104" s="3010">
        <f t="shared" si="11"/>
        <v>56156</v>
      </c>
      <c r="K104" s="3007" t="str">
        <f t="shared" si="13"/>
        <v xml:space="preserve">10层 </v>
      </c>
      <c r="L104" s="3007" t="str">
        <f t="shared" si="13"/>
        <v>8层</v>
      </c>
      <c r="N104">
        <f t="shared" ca="1" si="9"/>
        <v>470178</v>
      </c>
    </row>
    <row r="105" spans="1:14" ht="24">
      <c r="A105" s="3015">
        <v>102</v>
      </c>
      <c r="B105" s="3015" t="s">
        <v>3215</v>
      </c>
      <c r="C105" s="3004" t="s">
        <v>3840</v>
      </c>
      <c r="D105" s="3007" t="s">
        <v>4155</v>
      </c>
      <c r="E105" s="3008" t="s">
        <v>4156</v>
      </c>
      <c r="F105" s="3019">
        <v>66.099999999999994</v>
      </c>
      <c r="G105" s="3019">
        <v>8.3699999999999992</v>
      </c>
      <c r="H105" s="3016" t="s">
        <v>1373</v>
      </c>
      <c r="I105" s="3015" t="str">
        <f t="shared" si="10"/>
        <v>旅游用地</v>
      </c>
      <c r="J105" s="3010">
        <f t="shared" si="11"/>
        <v>56156</v>
      </c>
      <c r="K105" s="3007" t="str">
        <f t="shared" si="13"/>
        <v xml:space="preserve">10层 </v>
      </c>
      <c r="L105" s="3007" t="str">
        <f t="shared" si="13"/>
        <v>8层</v>
      </c>
      <c r="N105">
        <f t="shared" ca="1" si="9"/>
        <v>692331</v>
      </c>
    </row>
    <row r="106" spans="1:14" ht="24">
      <c r="A106" s="3015">
        <v>103</v>
      </c>
      <c r="B106" s="3015" t="s">
        <v>3216</v>
      </c>
      <c r="C106" s="3004" t="s">
        <v>3431</v>
      </c>
      <c r="D106" s="3007" t="s">
        <v>4157</v>
      </c>
      <c r="E106" s="3008" t="s">
        <v>4158</v>
      </c>
      <c r="F106" s="3019">
        <v>53.45</v>
      </c>
      <c r="G106" s="3019">
        <v>6.77</v>
      </c>
      <c r="H106" s="3016" t="s">
        <v>1373</v>
      </c>
      <c r="I106" s="3015" t="str">
        <f t="shared" si="10"/>
        <v>旅游用地</v>
      </c>
      <c r="J106" s="3010">
        <f t="shared" si="11"/>
        <v>56156</v>
      </c>
      <c r="K106" s="3007" t="str">
        <f t="shared" si="13"/>
        <v xml:space="preserve">10层 </v>
      </c>
      <c r="L106" s="3007" t="str">
        <f t="shared" si="13"/>
        <v>8层</v>
      </c>
      <c r="N106">
        <f t="shared" ca="1" si="9"/>
        <v>559835</v>
      </c>
    </row>
    <row r="107" spans="1:14" ht="24">
      <c r="A107" s="3015">
        <v>104</v>
      </c>
      <c r="B107" s="3015" t="s">
        <v>3217</v>
      </c>
      <c r="C107" s="3004" t="s">
        <v>3431</v>
      </c>
      <c r="D107" s="3007" t="s">
        <v>4159</v>
      </c>
      <c r="E107" s="3008" t="s">
        <v>4160</v>
      </c>
      <c r="F107" s="3019">
        <v>53.08</v>
      </c>
      <c r="G107" s="3019">
        <v>6.72</v>
      </c>
      <c r="H107" s="3016" t="s">
        <v>1373</v>
      </c>
      <c r="I107" s="3015" t="str">
        <f t="shared" si="10"/>
        <v>旅游用地</v>
      </c>
      <c r="J107" s="3010">
        <f t="shared" si="11"/>
        <v>56156</v>
      </c>
      <c r="K107" s="3007" t="str">
        <f t="shared" si="13"/>
        <v xml:space="preserve">10层 </v>
      </c>
      <c r="L107" s="3007" t="str">
        <f t="shared" si="13"/>
        <v>8层</v>
      </c>
      <c r="N107">
        <f t="shared" ca="1" si="9"/>
        <v>555960</v>
      </c>
    </row>
    <row r="108" spans="1:14" ht="24">
      <c r="A108" s="3015">
        <v>105</v>
      </c>
      <c r="B108" s="3015" t="s">
        <v>3218</v>
      </c>
      <c r="C108" s="3004" t="s">
        <v>3431</v>
      </c>
      <c r="D108" s="3007" t="s">
        <v>4161</v>
      </c>
      <c r="E108" s="3008" t="s">
        <v>4162</v>
      </c>
      <c r="F108" s="3019">
        <v>53.19</v>
      </c>
      <c r="G108" s="3019">
        <v>6.74</v>
      </c>
      <c r="H108" s="3016" t="s">
        <v>1373</v>
      </c>
      <c r="I108" s="3015" t="str">
        <f t="shared" si="10"/>
        <v>旅游用地</v>
      </c>
      <c r="J108" s="3010">
        <f t="shared" si="11"/>
        <v>56156</v>
      </c>
      <c r="K108" s="3007" t="str">
        <f t="shared" si="13"/>
        <v xml:space="preserve">10层 </v>
      </c>
      <c r="L108" s="3007" t="str">
        <f t="shared" si="13"/>
        <v>8层</v>
      </c>
      <c r="N108">
        <f t="shared" ca="1" si="9"/>
        <v>557112</v>
      </c>
    </row>
    <row r="109" spans="1:14" ht="24">
      <c r="A109" s="3015">
        <v>106</v>
      </c>
      <c r="B109" s="3015" t="s">
        <v>3219</v>
      </c>
      <c r="C109" s="3004" t="s">
        <v>3943</v>
      </c>
      <c r="D109" s="3007" t="s">
        <v>4163</v>
      </c>
      <c r="E109" s="3008" t="s">
        <v>4164</v>
      </c>
      <c r="F109" s="3019">
        <v>72.8</v>
      </c>
      <c r="G109" s="3019">
        <v>9.2200000000000006</v>
      </c>
      <c r="H109" s="3016" t="s">
        <v>1373</v>
      </c>
      <c r="I109" s="3015" t="str">
        <f t="shared" si="10"/>
        <v>旅游用地</v>
      </c>
      <c r="J109" s="3010">
        <f t="shared" si="11"/>
        <v>56156</v>
      </c>
      <c r="K109" s="3007" t="str">
        <f t="shared" ref="K109:L122" si="14">K108</f>
        <v xml:space="preserve">10层 </v>
      </c>
      <c r="L109" s="3007" t="str">
        <f t="shared" si="14"/>
        <v>8层</v>
      </c>
      <c r="N109">
        <f t="shared" ca="1" si="9"/>
        <v>762507</v>
      </c>
    </row>
    <row r="110" spans="1:14" ht="24">
      <c r="A110" s="3015">
        <v>107</v>
      </c>
      <c r="B110" s="3015" t="s">
        <v>3227</v>
      </c>
      <c r="C110" s="3004" t="s">
        <v>3431</v>
      </c>
      <c r="D110" s="3007" t="s">
        <v>4165</v>
      </c>
      <c r="E110" s="3008" t="s">
        <v>4166</v>
      </c>
      <c r="F110" s="3019">
        <v>70.040000000000006</v>
      </c>
      <c r="G110" s="3019">
        <v>8.8699999999999992</v>
      </c>
      <c r="H110" s="3016" t="s">
        <v>1373</v>
      </c>
      <c r="I110" s="3015" t="str">
        <f t="shared" si="10"/>
        <v>旅游用地</v>
      </c>
      <c r="J110" s="3010">
        <f t="shared" si="11"/>
        <v>56156</v>
      </c>
      <c r="K110" s="3007" t="str">
        <f t="shared" si="14"/>
        <v xml:space="preserve">10层 </v>
      </c>
      <c r="L110" s="3007" t="s">
        <v>4167</v>
      </c>
      <c r="N110">
        <f t="shared" ca="1" si="9"/>
        <v>733599</v>
      </c>
    </row>
    <row r="111" spans="1:14" ht="24">
      <c r="A111" s="3015">
        <v>108</v>
      </c>
      <c r="B111" s="3015" t="s">
        <v>3228</v>
      </c>
      <c r="C111" s="3004" t="s">
        <v>4047</v>
      </c>
      <c r="D111" s="3007" t="s">
        <v>4168</v>
      </c>
      <c r="E111" s="3008" t="s">
        <v>4169</v>
      </c>
      <c r="F111" s="3019">
        <v>54.11</v>
      </c>
      <c r="G111" s="3019">
        <v>6.85</v>
      </c>
      <c r="H111" s="3016" t="s">
        <v>1373</v>
      </c>
      <c r="I111" s="3015" t="str">
        <f t="shared" si="10"/>
        <v>旅游用地</v>
      </c>
      <c r="J111" s="3010">
        <f t="shared" si="11"/>
        <v>56156</v>
      </c>
      <c r="K111" s="3007" t="str">
        <f t="shared" si="14"/>
        <v xml:space="preserve">10层 </v>
      </c>
      <c r="L111" s="3007" t="str">
        <f>L110</f>
        <v>9层</v>
      </c>
      <c r="N111">
        <f t="shared" ca="1" si="9"/>
        <v>566748</v>
      </c>
    </row>
    <row r="112" spans="1:14" ht="24">
      <c r="A112" s="3015">
        <v>109</v>
      </c>
      <c r="B112" s="3015" t="s">
        <v>3229</v>
      </c>
      <c r="C112" s="3004" t="s">
        <v>3840</v>
      </c>
      <c r="D112" s="3007" t="s">
        <v>4170</v>
      </c>
      <c r="E112" s="3008" t="s">
        <v>4171</v>
      </c>
      <c r="F112" s="3019">
        <v>54</v>
      </c>
      <c r="G112" s="3019">
        <v>6.84</v>
      </c>
      <c r="H112" s="3016" t="s">
        <v>1373</v>
      </c>
      <c r="I112" s="3015" t="str">
        <f t="shared" si="10"/>
        <v>旅游用地</v>
      </c>
      <c r="J112" s="3010">
        <f t="shared" si="11"/>
        <v>56156</v>
      </c>
      <c r="K112" s="3007" t="str">
        <f t="shared" si="14"/>
        <v xml:space="preserve">10层 </v>
      </c>
      <c r="L112" s="3007" t="str">
        <f t="shared" si="14"/>
        <v>9层</v>
      </c>
      <c r="N112">
        <f t="shared" ca="1" si="9"/>
        <v>565596</v>
      </c>
    </row>
    <row r="113" spans="1:14" ht="24">
      <c r="A113" s="3015">
        <v>110</v>
      </c>
      <c r="B113" s="3015" t="s">
        <v>3230</v>
      </c>
      <c r="C113" s="3004" t="s">
        <v>3996</v>
      </c>
      <c r="D113" s="3007" t="s">
        <v>4172</v>
      </c>
      <c r="E113" s="3008" t="s">
        <v>4173</v>
      </c>
      <c r="F113" s="3019">
        <v>54.5</v>
      </c>
      <c r="G113" s="3019">
        <v>6.9</v>
      </c>
      <c r="H113" s="3016" t="s">
        <v>1373</v>
      </c>
      <c r="I113" s="3015" t="str">
        <f t="shared" si="10"/>
        <v>旅游用地</v>
      </c>
      <c r="J113" s="3010">
        <f t="shared" si="11"/>
        <v>56156</v>
      </c>
      <c r="K113" s="3007" t="str">
        <f t="shared" si="14"/>
        <v xml:space="preserve">10层 </v>
      </c>
      <c r="L113" s="3007" t="str">
        <f t="shared" si="14"/>
        <v>9层</v>
      </c>
      <c r="N113">
        <f t="shared" ca="1" si="9"/>
        <v>570833</v>
      </c>
    </row>
    <row r="114" spans="1:14" ht="24">
      <c r="A114" s="3015">
        <v>111</v>
      </c>
      <c r="B114" s="3015" t="s">
        <v>3231</v>
      </c>
      <c r="C114" s="3004" t="s">
        <v>4005</v>
      </c>
      <c r="D114" s="3007" t="s">
        <v>4174</v>
      </c>
      <c r="E114" s="3008" t="s">
        <v>4175</v>
      </c>
      <c r="F114" s="3019">
        <v>61.54</v>
      </c>
      <c r="G114" s="3019">
        <v>7.79</v>
      </c>
      <c r="H114" s="3016" t="s">
        <v>1373</v>
      </c>
      <c r="I114" s="3015" t="str">
        <f t="shared" si="10"/>
        <v>旅游用地</v>
      </c>
      <c r="J114" s="3010">
        <f t="shared" si="11"/>
        <v>56156</v>
      </c>
      <c r="K114" s="3007" t="str">
        <f t="shared" si="14"/>
        <v xml:space="preserve">10层 </v>
      </c>
      <c r="L114" s="3007" t="str">
        <f t="shared" si="14"/>
        <v>9层</v>
      </c>
      <c r="N114">
        <f t="shared" ca="1" si="9"/>
        <v>644570</v>
      </c>
    </row>
    <row r="115" spans="1:14" ht="24">
      <c r="A115" s="3015">
        <v>112</v>
      </c>
      <c r="B115" s="3015" t="s">
        <v>3232</v>
      </c>
      <c r="C115" s="3004" t="s">
        <v>4176</v>
      </c>
      <c r="D115" s="3007" t="s">
        <v>4177</v>
      </c>
      <c r="E115" s="3008" t="s">
        <v>4178</v>
      </c>
      <c r="F115" s="3019">
        <v>31.3</v>
      </c>
      <c r="G115" s="3019">
        <v>3.96</v>
      </c>
      <c r="H115" s="3016" t="s">
        <v>1373</v>
      </c>
      <c r="I115" s="3015" t="str">
        <f t="shared" si="10"/>
        <v>旅游用地</v>
      </c>
      <c r="J115" s="3010">
        <f t="shared" si="11"/>
        <v>56156</v>
      </c>
      <c r="K115" s="3007" t="str">
        <f t="shared" si="14"/>
        <v xml:space="preserve">10层 </v>
      </c>
      <c r="L115" s="3007" t="str">
        <f t="shared" si="14"/>
        <v>9层</v>
      </c>
      <c r="N115">
        <f t="shared" ca="1" si="9"/>
        <v>327836</v>
      </c>
    </row>
    <row r="116" spans="1:14" ht="24">
      <c r="A116" s="3015">
        <v>113</v>
      </c>
      <c r="B116" s="3015" t="s">
        <v>3233</v>
      </c>
      <c r="C116" s="3004" t="s">
        <v>4002</v>
      </c>
      <c r="D116" s="3007" t="s">
        <v>4179</v>
      </c>
      <c r="E116" s="3008" t="s">
        <v>4180</v>
      </c>
      <c r="F116" s="3019">
        <v>55.98</v>
      </c>
      <c r="G116" s="3019">
        <v>7.09</v>
      </c>
      <c r="H116" s="3016" t="s">
        <v>1373</v>
      </c>
      <c r="I116" s="3015" t="str">
        <f t="shared" si="10"/>
        <v>旅游用地</v>
      </c>
      <c r="J116" s="3010">
        <f t="shared" si="11"/>
        <v>56156</v>
      </c>
      <c r="K116" s="3007" t="str">
        <f t="shared" si="14"/>
        <v xml:space="preserve">10层 </v>
      </c>
      <c r="L116" s="3007" t="str">
        <f t="shared" si="14"/>
        <v>9层</v>
      </c>
      <c r="N116">
        <f t="shared" ca="1" si="9"/>
        <v>586335</v>
      </c>
    </row>
    <row r="117" spans="1:14" ht="24">
      <c r="A117" s="3015">
        <v>114</v>
      </c>
      <c r="B117" s="3015" t="s">
        <v>3234</v>
      </c>
      <c r="C117" s="3004" t="s">
        <v>4181</v>
      </c>
      <c r="D117" s="3007" t="s">
        <v>4182</v>
      </c>
      <c r="E117" s="3008" t="s">
        <v>4183</v>
      </c>
      <c r="F117" s="3019">
        <v>37.78</v>
      </c>
      <c r="G117" s="3019">
        <v>4.78</v>
      </c>
      <c r="H117" s="3016" t="s">
        <v>1373</v>
      </c>
      <c r="I117" s="3015" t="str">
        <f t="shared" si="10"/>
        <v>旅游用地</v>
      </c>
      <c r="J117" s="3010">
        <f t="shared" si="11"/>
        <v>56156</v>
      </c>
      <c r="K117" s="3007" t="str">
        <f t="shared" si="14"/>
        <v xml:space="preserve">10层 </v>
      </c>
      <c r="L117" s="3007" t="str">
        <f t="shared" si="14"/>
        <v>9层</v>
      </c>
      <c r="N117">
        <f t="shared" ca="1" si="9"/>
        <v>395708</v>
      </c>
    </row>
    <row r="118" spans="1:14" ht="24">
      <c r="A118" s="3015">
        <v>115</v>
      </c>
      <c r="B118" s="3015" t="s">
        <v>3235</v>
      </c>
      <c r="C118" s="3004" t="s">
        <v>3996</v>
      </c>
      <c r="D118" s="3007" t="s">
        <v>4184</v>
      </c>
      <c r="E118" s="3008" t="s">
        <v>4185</v>
      </c>
      <c r="F118" s="3019">
        <v>61.54</v>
      </c>
      <c r="G118" s="3019">
        <v>7.79</v>
      </c>
      <c r="H118" s="3016" t="s">
        <v>1373</v>
      </c>
      <c r="I118" s="3015" t="str">
        <f t="shared" si="10"/>
        <v>旅游用地</v>
      </c>
      <c r="J118" s="3010">
        <f t="shared" si="11"/>
        <v>56156</v>
      </c>
      <c r="K118" s="3007" t="str">
        <f t="shared" si="14"/>
        <v xml:space="preserve">10层 </v>
      </c>
      <c r="L118" s="3007" t="str">
        <f t="shared" si="14"/>
        <v>9层</v>
      </c>
      <c r="N118">
        <f t="shared" ca="1" si="9"/>
        <v>644570</v>
      </c>
    </row>
    <row r="119" spans="1:14" ht="24">
      <c r="A119" s="3015">
        <v>116</v>
      </c>
      <c r="B119" s="3015" t="s">
        <v>3236</v>
      </c>
      <c r="C119" s="3004" t="s">
        <v>4186</v>
      </c>
      <c r="D119" s="3007" t="s">
        <v>4187</v>
      </c>
      <c r="E119" s="3008" t="s">
        <v>4188</v>
      </c>
      <c r="F119" s="3019">
        <v>54.5</v>
      </c>
      <c r="G119" s="3019">
        <v>6.9</v>
      </c>
      <c r="H119" s="3016" t="s">
        <v>1373</v>
      </c>
      <c r="I119" s="3015" t="str">
        <f t="shared" si="10"/>
        <v>旅游用地</v>
      </c>
      <c r="J119" s="3010">
        <f t="shared" si="11"/>
        <v>56156</v>
      </c>
      <c r="K119" s="3007" t="str">
        <f t="shared" si="14"/>
        <v xml:space="preserve">10层 </v>
      </c>
      <c r="L119" s="3007" t="str">
        <f t="shared" si="14"/>
        <v>9层</v>
      </c>
      <c r="N119">
        <f t="shared" ca="1" si="9"/>
        <v>570833</v>
      </c>
    </row>
    <row r="120" spans="1:14" ht="24">
      <c r="A120" s="3015">
        <v>117</v>
      </c>
      <c r="B120" s="3015" t="s">
        <v>3237</v>
      </c>
      <c r="C120" s="3004" t="s">
        <v>3431</v>
      </c>
      <c r="D120" s="3007" t="s">
        <v>4189</v>
      </c>
      <c r="E120" s="3008" t="s">
        <v>4190</v>
      </c>
      <c r="F120" s="3019">
        <v>54</v>
      </c>
      <c r="G120" s="3019">
        <v>6.84</v>
      </c>
      <c r="H120" s="3016" t="s">
        <v>1373</v>
      </c>
      <c r="I120" s="3015" t="str">
        <f t="shared" si="10"/>
        <v>旅游用地</v>
      </c>
      <c r="J120" s="3010">
        <f t="shared" si="11"/>
        <v>56156</v>
      </c>
      <c r="K120" s="3007" t="str">
        <f t="shared" si="14"/>
        <v xml:space="preserve">10层 </v>
      </c>
      <c r="L120" s="3007" t="str">
        <f t="shared" si="14"/>
        <v>9层</v>
      </c>
      <c r="N120">
        <f t="shared" ca="1" si="9"/>
        <v>565596</v>
      </c>
    </row>
    <row r="121" spans="1:14" ht="24">
      <c r="A121" s="3015">
        <v>118</v>
      </c>
      <c r="B121" s="3015" t="s">
        <v>3238</v>
      </c>
      <c r="C121" s="3004" t="s">
        <v>3943</v>
      </c>
      <c r="D121" s="3007" t="s">
        <v>4191</v>
      </c>
      <c r="E121" s="3008" t="s">
        <v>4192</v>
      </c>
      <c r="F121" s="3019">
        <v>54.11</v>
      </c>
      <c r="G121" s="3019">
        <v>6.85</v>
      </c>
      <c r="H121" s="3016" t="s">
        <v>1373</v>
      </c>
      <c r="I121" s="3015" t="str">
        <f t="shared" si="10"/>
        <v>旅游用地</v>
      </c>
      <c r="J121" s="3010">
        <f t="shared" si="11"/>
        <v>56156</v>
      </c>
      <c r="K121" s="3007" t="str">
        <f t="shared" si="14"/>
        <v xml:space="preserve">10层 </v>
      </c>
      <c r="L121" s="3007" t="str">
        <f t="shared" si="14"/>
        <v>9层</v>
      </c>
      <c r="N121">
        <f t="shared" ca="1" si="9"/>
        <v>566748</v>
      </c>
    </row>
    <row r="122" spans="1:14" ht="24">
      <c r="A122" s="3015">
        <v>119</v>
      </c>
      <c r="B122" s="3015" t="s">
        <v>3239</v>
      </c>
      <c r="C122" s="3004" t="s">
        <v>4186</v>
      </c>
      <c r="D122" s="3007" t="s">
        <v>4193</v>
      </c>
      <c r="E122" s="3008" t="s">
        <v>4194</v>
      </c>
      <c r="F122" s="3019">
        <v>69.650000000000006</v>
      </c>
      <c r="G122" s="3019">
        <v>8.82</v>
      </c>
      <c r="H122" s="3016" t="s">
        <v>1373</v>
      </c>
      <c r="I122" s="3015" t="str">
        <f t="shared" si="10"/>
        <v>旅游用地</v>
      </c>
      <c r="J122" s="3010">
        <f t="shared" si="11"/>
        <v>56156</v>
      </c>
      <c r="K122" s="3007" t="str">
        <f t="shared" si="14"/>
        <v xml:space="preserve">10层 </v>
      </c>
      <c r="L122" s="3007" t="str">
        <f t="shared" si="14"/>
        <v>9层</v>
      </c>
      <c r="N122">
        <f t="shared" ca="1" si="9"/>
        <v>729514</v>
      </c>
    </row>
    <row r="123" spans="1:14">
      <c r="A123" s="3385" t="s">
        <v>37</v>
      </c>
      <c r="B123" s="3385"/>
      <c r="C123" s="3385"/>
      <c r="D123" s="3385"/>
      <c r="E123" s="3385"/>
      <c r="F123" s="3020">
        <f>SUM(F4:F122)</f>
        <v>7340.8800000000037</v>
      </c>
      <c r="G123" s="3020">
        <f>SUM(G4:G122)</f>
        <v>929.57999999999993</v>
      </c>
      <c r="H123" s="3015" t="s">
        <v>4195</v>
      </c>
      <c r="I123" s="3015" t="s">
        <v>4195</v>
      </c>
      <c r="J123" s="3007" t="s">
        <v>4195</v>
      </c>
      <c r="K123" s="3007"/>
      <c r="L123" s="3007"/>
      <c r="N123">
        <f ca="1">SUM(N4:N122)</f>
        <v>76888366</v>
      </c>
    </row>
  </sheetData>
  <mergeCells count="3">
    <mergeCell ref="A1:L1"/>
    <mergeCell ref="A2:L2"/>
    <mergeCell ref="A123:E123"/>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57" t="s">
        <v>1658</v>
      </c>
      <c r="B1" s="3057"/>
      <c r="C1" s="3057"/>
      <c r="D1" s="3057"/>
    </row>
    <row r="2" spans="1:4" ht="18">
      <c r="A2" s="3058" t="s">
        <v>1642</v>
      </c>
      <c r="B2" s="3058"/>
      <c r="C2" s="3058"/>
      <c r="D2" s="3058"/>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58" t="s">
        <v>1648</v>
      </c>
      <c r="B6" s="3058"/>
      <c r="C6" s="3058"/>
      <c r="D6" s="3058"/>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59" t="s">
        <v>1651</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1"/>
      <c r="C12" s="3061"/>
      <c r="D12" s="3061"/>
    </row>
    <row r="13" spans="1:4" ht="30" customHeight="1">
      <c r="A13" s="30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1"/>
      <c r="C13" s="3061"/>
      <c r="D13" s="3061"/>
    </row>
    <row r="14" spans="1:4" ht="15.75" customHeight="1">
      <c r="A14" s="3060" t="str">
        <f>IF(项目基本情况!B8="抵押","4.本次评估估价师所知悉的法定优先受偿款情况说明如下：","——")</f>
        <v>4.本次评估估价师所知悉的法定优先受偿款情况说明如下：</v>
      </c>
      <c r="B14" s="3061"/>
      <c r="C14" s="3061"/>
      <c r="D14" s="3061"/>
    </row>
    <row r="15" spans="1:4" ht="42" customHeight="1">
      <c r="A15" s="30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0"/>
      <c r="C15" s="3060"/>
      <c r="D15" s="3060"/>
    </row>
    <row r="16" spans="1:4" ht="30" customHeight="1">
      <c r="A16" s="3063" t="s">
        <v>1652</v>
      </c>
      <c r="B16" s="3063"/>
      <c r="C16" s="3063"/>
      <c r="D16" s="3063"/>
    </row>
    <row r="17" spans="1:4" ht="144" customHeight="1">
      <c r="A17" s="3063" t="s">
        <v>1653</v>
      </c>
      <c r="B17" s="3063"/>
      <c r="C17" s="3063"/>
      <c r="D17" s="3063"/>
    </row>
    <row r="18" spans="1:4" ht="15.75" customHeight="1">
      <c r="A18" s="3060" t="str">
        <f>IF(项目基本情况!B8="抵押",结果表!K120,"——")</f>
        <v>故，本次评估不存在估价师知悉的法定优先受偿款</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0"/>
      <c r="C20" s="3060"/>
      <c r="D20" s="3060"/>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4"/>
      <c r="C21" s="3064"/>
      <c r="D21" s="3064"/>
    </row>
    <row r="22" spans="1:4" ht="18.75" customHeight="1">
      <c r="A22" s="3065" t="s">
        <v>1654</v>
      </c>
      <c r="B22" s="3065"/>
      <c r="C22" s="3065"/>
      <c r="D22" s="3065"/>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62">
        <v>42551</v>
      </c>
      <c r="D31" s="30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71" t="s">
        <v>1665</v>
      </c>
      <c r="B15" s="3066" t="s">
        <v>136</v>
      </c>
      <c r="C15" s="3067"/>
    </row>
    <row r="16" spans="1:7" ht="13.5">
      <c r="A16" s="3072"/>
      <c r="B16" s="3066" t="s">
        <v>69</v>
      </c>
      <c r="C16" s="3067"/>
    </row>
    <row r="17" spans="1:3" ht="13.5">
      <c r="A17" s="3072"/>
      <c r="B17" s="3069" t="s">
        <v>1666</v>
      </c>
      <c r="C17" s="2003" t="s">
        <v>1665</v>
      </c>
    </row>
    <row r="18" spans="1:3" ht="13.5">
      <c r="A18" s="3072"/>
      <c r="B18" s="3069"/>
      <c r="C18" s="2003" t="s">
        <v>1667</v>
      </c>
    </row>
    <row r="19" spans="1:3" ht="13.5">
      <c r="A19" s="3072"/>
      <c r="B19" s="3069"/>
      <c r="C19" s="2003" t="s">
        <v>1668</v>
      </c>
    </row>
    <row r="20" spans="1:3" ht="13.5">
      <c r="A20" s="3073"/>
      <c r="B20" s="3068" t="s">
        <v>1669</v>
      </c>
      <c r="C20" s="3067"/>
    </row>
    <row r="21" spans="1:3" ht="13.5">
      <c r="A21" s="2004" t="s">
        <v>1670</v>
      </c>
      <c r="B21" s="2005"/>
      <c r="C21" s="2006"/>
    </row>
    <row r="22" spans="1:3" ht="13.5">
      <c r="A22" s="3070" t="s">
        <v>1671</v>
      </c>
      <c r="B22" s="3068" t="s">
        <v>1672</v>
      </c>
      <c r="C22" s="3067"/>
    </row>
    <row r="23" spans="1:3" ht="13.5">
      <c r="A23" s="3070"/>
      <c r="B23" s="3068" t="s">
        <v>1673</v>
      </c>
      <c r="C23" s="3067"/>
    </row>
    <row r="24" spans="1:3" ht="13.5">
      <c r="A24" s="3070"/>
      <c r="B24" s="3068" t="s">
        <v>1674</v>
      </c>
      <c r="C24" s="3067"/>
    </row>
    <row r="25" spans="1:3" ht="13.5">
      <c r="A25" s="3070"/>
      <c r="B25" s="3069" t="s">
        <v>1675</v>
      </c>
      <c r="C25" s="2003" t="s">
        <v>1676</v>
      </c>
    </row>
    <row r="26" spans="1:3" ht="13.5">
      <c r="A26" s="3070"/>
      <c r="B26" s="3069"/>
      <c r="C26" s="2003" t="s">
        <v>1677</v>
      </c>
    </row>
    <row r="27" spans="1:3" ht="13.5">
      <c r="A27" s="3070"/>
      <c r="B27" s="3069"/>
      <c r="C27" s="2003" t="s">
        <v>1678</v>
      </c>
    </row>
    <row r="28" spans="1:3" ht="13.5">
      <c r="A28" s="3070"/>
      <c r="B28" s="3069"/>
      <c r="C28" s="2003" t="s">
        <v>1679</v>
      </c>
    </row>
    <row r="29" spans="1:3" ht="13.5">
      <c r="A29" s="3070"/>
      <c r="B29" s="3069"/>
      <c r="C29" s="2003" t="s">
        <v>1680</v>
      </c>
    </row>
    <row r="30" spans="1:3" ht="13.5">
      <c r="A30" s="3070"/>
      <c r="B30" s="3069"/>
      <c r="C30" s="2003" t="s">
        <v>1681</v>
      </c>
    </row>
    <row r="31" spans="1:3" ht="13.5">
      <c r="A31" s="3070"/>
      <c r="B31" s="3069"/>
      <c r="C31" s="2003" t="s">
        <v>1682</v>
      </c>
    </row>
    <row r="32" spans="1:3" ht="13.5">
      <c r="A32" s="3070"/>
      <c r="B32" s="3069"/>
      <c r="C32" s="2003" t="s">
        <v>1683</v>
      </c>
    </row>
    <row r="33" spans="1:3" ht="13.5">
      <c r="A33" s="3070"/>
      <c r="B33" s="3069"/>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43605</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3046</v>
      </c>
      <c r="B14" s="1025">
        <f ca="1">IF(C14&lt;B2,"已过期",1120040230)</f>
        <v>1120040230</v>
      </c>
      <c r="C14" s="2350">
        <v>43835</v>
      </c>
      <c r="D14" s="2353" t="s">
        <v>3046</v>
      </c>
      <c r="E14" s="1025">
        <f ca="1">IF(F14&lt;B2,"已过期",98030020)</f>
        <v>98030020</v>
      </c>
      <c r="F14" s="1033">
        <v>47118</v>
      </c>
    </row>
    <row r="15" spans="1:6" ht="24" customHeight="1">
      <c r="A15" s="1706" t="s">
        <v>3047</v>
      </c>
      <c r="B15" s="1025">
        <f ca="1">IF(C15&lt;B2,"已过期",1120070085)</f>
        <v>1120070085</v>
      </c>
      <c r="C15" s="2350">
        <v>43814</v>
      </c>
      <c r="D15" s="2354" t="s">
        <v>3047</v>
      </c>
      <c r="E15" s="1025">
        <f ca="1">IF(F15&lt;B2,"已过期",2004110128)</f>
        <v>2004110128</v>
      </c>
      <c r="F15" s="1026">
        <v>47118</v>
      </c>
    </row>
    <row r="16" spans="1:6" ht="24" customHeight="1">
      <c r="A16" s="1705" t="s">
        <v>3048</v>
      </c>
      <c r="B16" s="1025">
        <f ca="1">IF(C16&lt;B2,"已过期",1120140022)</f>
        <v>1120140022</v>
      </c>
      <c r="C16" s="2941">
        <v>44029</v>
      </c>
      <c r="D16" s="2353" t="s">
        <v>3048</v>
      </c>
      <c r="E16" s="1025">
        <f ca="1">IF(F16&lt;B2,"已过期",2008110059)</f>
        <v>2008110059</v>
      </c>
      <c r="F16" s="1033">
        <v>47177</v>
      </c>
    </row>
    <row r="17" spans="1:7" ht="24" customHeight="1">
      <c r="A17" s="1705"/>
      <c r="B17" s="1025"/>
      <c r="C17" s="2350"/>
      <c r="D17" s="2353" t="s">
        <v>3049</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74" t="s">
        <v>843</v>
      </c>
      <c r="B25" s="3074"/>
      <c r="C25" s="3074"/>
      <c r="D25" s="3074"/>
      <c r="E25" s="3074"/>
      <c r="F25" s="3074"/>
      <c r="G25" s="3074"/>
    </row>
    <row r="26" spans="1:7" s="1028" customFormat="1" ht="24" customHeight="1">
      <c r="A26" s="3075" t="s">
        <v>844</v>
      </c>
      <c r="B26" s="3075"/>
      <c r="C26" s="3076"/>
      <c r="D26" s="3077" t="s">
        <v>845</v>
      </c>
      <c r="E26" s="3075"/>
      <c r="F26" s="3075"/>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成本法 (2)</vt:lpstr>
      <vt:lpstr>成本法 (3)</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收益法-7</vt:lpstr>
      <vt:lpstr>收益法（汇总）</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合计表</vt:lpstr>
      <vt:lpstr>3号楼面积清单</vt:lpstr>
      <vt:lpstr>6号楼面积清单</vt:lpstr>
      <vt:lpstr>7号楼面积清单</vt:lpstr>
      <vt:lpstr>估价师及机构信息!Print_Area</vt:lpstr>
      <vt:lpstr>收益法!Print_Area</vt:lpstr>
      <vt:lpstr>'收益法 (元)'!Print_Area</vt:lpstr>
      <vt:lpstr>'收益法-7'!Print_Area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2019-05-20T06:46:17Z</dcterms:modified>
</cp:coreProperties>
</file>