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7"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38" i="39"/>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M4" i="88" l="1"/>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D15" i="74" l="1"/>
  <c r="G15" i="74" l="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4"/>
  <c r="E2" i="83"/>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AO12" i="1"/>
  <c r="F38" i="67"/>
  <c r="M24" i="15"/>
  <c r="M23" i="15"/>
  <c r="F16" i="15"/>
  <c r="B12" i="76"/>
  <c r="AO11" i="1"/>
  <c r="F8" i="67"/>
  <c r="J15" i="67"/>
  <c r="D2" i="21"/>
  <c r="L47" i="67"/>
  <c r="F20" i="31"/>
  <c r="E11" i="76"/>
  <c r="B9" i="76"/>
  <c r="M28" i="67"/>
  <c r="M24" i="67"/>
  <c r="F40" i="15"/>
  <c r="D2" i="34"/>
  <c r="E2" i="69"/>
  <c r="D2" i="35"/>
  <c r="F37" i="67"/>
  <c r="B13" i="76"/>
  <c r="M28" i="15"/>
  <c r="AO13" i="1"/>
  <c r="F6" i="15"/>
  <c r="AO10" i="1"/>
  <c r="D2" i="36"/>
  <c r="E9" i="76"/>
  <c r="E10" i="76"/>
  <c r="E12" i="76"/>
  <c r="AO9" i="1"/>
  <c r="E7" i="76"/>
  <c r="E8" i="76"/>
  <c r="F9" i="67"/>
  <c r="F13" i="15"/>
  <c r="M6" i="67"/>
  <c r="F37" i="15"/>
  <c r="D2" i="33"/>
  <c r="D2" i="37"/>
  <c r="B10" i="76"/>
  <c r="E13" i="76"/>
  <c r="L47" i="15"/>
  <c r="B7" i="76"/>
  <c r="B8" i="76"/>
  <c r="AO8" i="1"/>
  <c r="E2" i="68"/>
  <c r="M8" i="15"/>
  <c r="F36" i="15"/>
  <c r="M6" i="15"/>
  <c r="F13" i="67"/>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C36" i="68"/>
  <c r="C76" i="15"/>
  <c r="F6" i="67"/>
  <c r="J15" i="15"/>
  <c r="M9" i="67"/>
  <c r="M26" i="15"/>
  <c r="F7" i="67"/>
  <c r="M9" i="15"/>
  <c r="M22" i="15"/>
  <c r="C76" i="67"/>
  <c r="F43" i="67"/>
  <c r="F26" i="67"/>
  <c r="D9" i="68"/>
  <c r="F26" i="15"/>
  <c r="F7" i="15"/>
  <c r="M26" i="67"/>
  <c r="M29" i="15"/>
  <c r="M23" i="67"/>
  <c r="M27" i="15"/>
  <c r="M27" i="67"/>
  <c r="F38" i="15"/>
  <c r="M22" i="67"/>
  <c r="F43" i="15"/>
  <c r="L48" i="67"/>
  <c r="F8" i="15"/>
  <c r="F42" i="67"/>
  <c r="F9" i="15"/>
  <c r="M8" i="67"/>
  <c r="F40" i="67"/>
  <c r="L48" i="15"/>
  <c r="F42" i="15"/>
  <c r="F36" i="67"/>
  <c r="M29" i="67"/>
  <c r="F16" i="67"/>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3" i="67"/>
  <c r="Q74" i="15"/>
  <c r="Q61" i="15"/>
  <c r="Q61" i="67"/>
  <c r="Q74" i="67"/>
  <c r="D5" i="73"/>
  <c r="D7" i="73"/>
  <c r="F7" i="79"/>
  <c r="M6" i="79"/>
  <c r="M28" i="79"/>
  <c r="M23" i="79"/>
  <c r="F9" i="79"/>
  <c r="M27" i="79"/>
  <c r="M9" i="79"/>
  <c r="F6" i="73"/>
  <c r="F8" i="79"/>
  <c r="L48" i="79"/>
  <c r="D9" i="84"/>
  <c r="D6" i="73"/>
  <c r="F40" i="79"/>
  <c r="L47" i="79"/>
  <c r="F13" i="79"/>
  <c r="C76" i="79"/>
  <c r="M22" i="79"/>
  <c r="F38" i="79"/>
  <c r="F5" i="73"/>
  <c r="J15" i="79"/>
  <c r="F26" i="79"/>
  <c r="C36" i="83"/>
  <c r="M26" i="79"/>
  <c r="F43" i="79"/>
  <c r="C16" i="15"/>
  <c r="F16" i="79"/>
  <c r="F37" i="79"/>
  <c r="C36" i="84"/>
  <c r="D9" i="83"/>
  <c r="F42" i="79"/>
  <c r="F3" i="73"/>
  <c r="F6" i="79"/>
  <c r="D4" i="73"/>
  <c r="F7" i="73"/>
  <c r="F27" i="83"/>
  <c r="F4" i="73"/>
  <c r="D3" i="73"/>
  <c r="C16" i="67"/>
  <c r="M8" i="79"/>
  <c r="F36" i="79"/>
  <c r="M24" i="79"/>
  <c r="M29" i="79"/>
  <c r="F27" i="84"/>
  <c r="D106" i="43" l="1"/>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C16" i="79"/>
  <c r="AE6" i="1"/>
  <c r="G1" i="73"/>
  <c r="F27" i="68"/>
  <c r="F41" i="15"/>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F69" i="15"/>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D10" i="68"/>
  <c r="C34" i="68"/>
  <c r="F41" i="67"/>
  <c r="F69" i="67" l="1"/>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D10" i="84"/>
  <c r="C14" i="67"/>
  <c r="C17" i="67"/>
  <c r="C17" i="15"/>
  <c r="C17" i="79"/>
  <c r="D10" i="83"/>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F35" i="79"/>
  <c r="C34" i="84"/>
  <c r="C14" i="15"/>
  <c r="C34" i="83"/>
  <c r="C14" i="79"/>
  <c r="M21" i="79"/>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E6" i="76"/>
  <c r="B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15"/>
  <c r="M21" i="15"/>
  <c r="F35" i="67"/>
  <c r="M21"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79"/>
  <c r="L51" i="67"/>
  <c r="L51" i="15"/>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D35" i="9"/>
  <c r="D34" i="9"/>
  <c r="C20" i="9"/>
  <c r="G21" i="9" l="1"/>
  <c r="G20" i="9"/>
  <c r="C103" i="9"/>
  <c r="H118" i="9"/>
  <c r="C35" i="9"/>
  <c r="F118" i="9" s="1"/>
  <c r="M4" i="86" l="1"/>
  <c r="N6" i="86" s="1"/>
  <c r="M4" i="87"/>
  <c r="N4" i="86"/>
  <c r="N105" i="86"/>
  <c r="N121" i="86"/>
  <c r="N129" i="86"/>
  <c r="N133" i="86"/>
  <c r="N137" i="86"/>
  <c r="N141" i="86"/>
  <c r="N145" i="86"/>
  <c r="N149" i="86"/>
  <c r="N153" i="86"/>
  <c r="N157" i="86"/>
  <c r="N161" i="86"/>
  <c r="N165" i="86"/>
  <c r="N169" i="86"/>
  <c r="N173" i="86"/>
  <c r="N176" i="86"/>
  <c r="N178" i="86"/>
  <c r="N180" i="86"/>
  <c r="N182" i="86"/>
  <c r="N184" i="86"/>
  <c r="N188" i="86"/>
  <c r="N190" i="86"/>
  <c r="N192" i="86"/>
  <c r="N194" i="86"/>
  <c r="N196" i="86"/>
  <c r="N198" i="86"/>
  <c r="N200" i="86"/>
  <c r="N202" i="86"/>
  <c r="N204" i="86"/>
  <c r="N206" i="86"/>
  <c r="N208" i="86"/>
  <c r="N210" i="86"/>
  <c r="N212" i="86"/>
  <c r="N214" i="86"/>
  <c r="N216" i="86"/>
  <c r="N218" i="86"/>
  <c r="N220" i="86"/>
  <c r="N222" i="86"/>
  <c r="N226" i="86"/>
  <c r="N228" i="86"/>
  <c r="F15" i="74"/>
  <c r="E15" i="74"/>
  <c r="C34" i="9"/>
  <c r="D118" i="9" s="1"/>
  <c r="D4" i="52" s="1"/>
  <c r="B47" i="72" s="1"/>
  <c r="I118" i="9"/>
  <c r="H4" i="52"/>
  <c r="H119" i="9"/>
  <c r="H5" i="52" s="1"/>
  <c r="H101" i="9"/>
  <c r="D14" i="74"/>
  <c r="C104" i="9"/>
  <c r="G118" i="9"/>
  <c r="G4" i="52" s="1"/>
  <c r="B52" i="72" s="1"/>
  <c r="F4" i="52"/>
  <c r="B51" i="72" s="1"/>
  <c r="F119" i="9"/>
  <c r="F5" i="52" s="1"/>
  <c r="B53" i="72" s="1"/>
  <c r="N113" i="86" l="1"/>
  <c r="N97" i="86"/>
  <c r="N89" i="86"/>
  <c r="N81" i="86"/>
  <c r="N125" i="86"/>
  <c r="N117" i="86"/>
  <c r="N109" i="86"/>
  <c r="N101" i="86"/>
  <c r="N93" i="86"/>
  <c r="N85" i="86"/>
  <c r="N73" i="86"/>
  <c r="N65" i="86"/>
  <c r="N57" i="86"/>
  <c r="N77" i="86"/>
  <c r="N69" i="86"/>
  <c r="N61" i="86"/>
  <c r="N49" i="86"/>
  <c r="N41" i="86"/>
  <c r="N25" i="86"/>
  <c r="N33" i="86"/>
  <c r="N5" i="86"/>
  <c r="N53" i="86"/>
  <c r="N45" i="86"/>
  <c r="N37" i="86"/>
  <c r="N29" i="86"/>
  <c r="N17" i="86"/>
  <c r="N221" i="86"/>
  <c r="N209" i="86"/>
  <c r="N21" i="86"/>
  <c r="N13" i="86"/>
  <c r="N225" i="86"/>
  <c r="N217" i="86"/>
  <c r="N195" i="86"/>
  <c r="N9" i="86"/>
  <c r="N227" i="86"/>
  <c r="N223" i="86"/>
  <c r="N219" i="86"/>
  <c r="N213" i="86"/>
  <c r="N203" i="86"/>
  <c r="N187" i="86"/>
  <c r="N171" i="86"/>
  <c r="N215" i="86"/>
  <c r="N211" i="86"/>
  <c r="N207" i="86"/>
  <c r="N199" i="86"/>
  <c r="N191" i="86"/>
  <c r="N181" i="86"/>
  <c r="N155" i="86"/>
  <c r="N205" i="86"/>
  <c r="N201" i="86"/>
  <c r="N197" i="86"/>
  <c r="N193" i="86"/>
  <c r="N189" i="86"/>
  <c r="N185" i="86"/>
  <c r="N177" i="86"/>
  <c r="N163" i="86"/>
  <c r="N147" i="86"/>
  <c r="N139" i="86"/>
  <c r="N183" i="86"/>
  <c r="N179" i="86"/>
  <c r="N175" i="86"/>
  <c r="N167" i="86"/>
  <c r="N159" i="86"/>
  <c r="N151" i="86"/>
  <c r="N143" i="86"/>
  <c r="N135" i="86"/>
  <c r="N123" i="86"/>
  <c r="N103" i="86"/>
  <c r="N131" i="86"/>
  <c r="N115" i="86"/>
  <c r="N87" i="86"/>
  <c r="N63" i="86"/>
  <c r="N127" i="86"/>
  <c r="N119" i="86"/>
  <c r="N111" i="86"/>
  <c r="N95" i="86"/>
  <c r="N79" i="86"/>
  <c r="N47" i="86"/>
  <c r="N107" i="86"/>
  <c r="N99" i="86"/>
  <c r="N91" i="86"/>
  <c r="N83" i="86"/>
  <c r="N71" i="86"/>
  <c r="N55" i="86"/>
  <c r="N35" i="86"/>
  <c r="N75" i="86"/>
  <c r="N67" i="86"/>
  <c r="N59" i="86"/>
  <c r="N51" i="86"/>
  <c r="N43" i="86"/>
  <c r="N19" i="86"/>
  <c r="N27" i="86"/>
  <c r="N7" i="86"/>
  <c r="N39" i="86"/>
  <c r="N31" i="86"/>
  <c r="N23" i="86"/>
  <c r="N15" i="86"/>
  <c r="N186" i="86"/>
  <c r="N170" i="86"/>
  <c r="N11" i="86"/>
  <c r="N224" i="86"/>
  <c r="N174" i="86"/>
  <c r="N166" i="86"/>
  <c r="N156" i="86"/>
  <c r="N172" i="86"/>
  <c r="N168" i="86"/>
  <c r="N164" i="86"/>
  <c r="N146" i="86"/>
  <c r="N160" i="86"/>
  <c r="N152" i="86"/>
  <c r="N130" i="86"/>
  <c r="N138" i="86"/>
  <c r="N114" i="86"/>
  <c r="N98" i="86"/>
  <c r="N162" i="86"/>
  <c r="N158" i="86"/>
  <c r="N154" i="86"/>
  <c r="N150" i="86"/>
  <c r="N142" i="86"/>
  <c r="N134" i="86"/>
  <c r="N122" i="86"/>
  <c r="N106" i="86"/>
  <c r="N88" i="86"/>
  <c r="N126" i="86"/>
  <c r="N118" i="86"/>
  <c r="N110" i="86"/>
  <c r="N102" i="86"/>
  <c r="N94" i="86"/>
  <c r="N80" i="86"/>
  <c r="N72" i="86"/>
  <c r="N148" i="86"/>
  <c r="N144" i="86"/>
  <c r="N140" i="86"/>
  <c r="N136" i="86"/>
  <c r="N132" i="86"/>
  <c r="N128" i="86"/>
  <c r="N124" i="86"/>
  <c r="N120" i="86"/>
  <c r="N116" i="86"/>
  <c r="N112" i="86"/>
  <c r="N108" i="86"/>
  <c r="N104" i="86"/>
  <c r="N100" i="86"/>
  <c r="N96" i="86"/>
  <c r="N92" i="86"/>
  <c r="N84" i="86"/>
  <c r="N76" i="86"/>
  <c r="N68" i="86"/>
  <c r="N62" i="86"/>
  <c r="N90" i="86"/>
  <c r="N86" i="86"/>
  <c r="N82" i="86"/>
  <c r="N78" i="86"/>
  <c r="N74" i="86"/>
  <c r="N70" i="86"/>
  <c r="N66" i="86"/>
  <c r="N58" i="86"/>
  <c r="N52" i="86"/>
  <c r="N40" i="86"/>
  <c r="N64" i="86"/>
  <c r="N60" i="86"/>
  <c r="N56" i="86"/>
  <c r="N48" i="86"/>
  <c r="N32" i="86"/>
  <c r="N54" i="86"/>
  <c r="N50" i="86"/>
  <c r="N44" i="86"/>
  <c r="N36" i="86"/>
  <c r="N26" i="86"/>
  <c r="N46" i="86"/>
  <c r="N42" i="86"/>
  <c r="N38" i="86"/>
  <c r="N34" i="86"/>
  <c r="N30" i="86"/>
  <c r="N18" i="86"/>
  <c r="N28" i="86"/>
  <c r="N22" i="86"/>
  <c r="N12" i="86"/>
  <c r="N4" i="87"/>
  <c r="N6" i="87"/>
  <c r="N8" i="87"/>
  <c r="N10" i="87"/>
  <c r="N12" i="87"/>
  <c r="N14" i="87"/>
  <c r="N16" i="87"/>
  <c r="N18" i="87"/>
  <c r="N20" i="87"/>
  <c r="N22" i="87"/>
  <c r="N24" i="87"/>
  <c r="N26" i="87"/>
  <c r="N28" i="87"/>
  <c r="N30" i="87"/>
  <c r="N32" i="87"/>
  <c r="N34" i="87"/>
  <c r="N36" i="87"/>
  <c r="N38" i="87"/>
  <c r="N40" i="87"/>
  <c r="N42" i="87"/>
  <c r="N44" i="87"/>
  <c r="N46" i="87"/>
  <c r="N48" i="87"/>
  <c r="N50" i="87"/>
  <c r="N52" i="87"/>
  <c r="N54" i="87"/>
  <c r="N56" i="87"/>
  <c r="N58" i="87"/>
  <c r="N60" i="87"/>
  <c r="N62" i="87"/>
  <c r="N64" i="87"/>
  <c r="N66" i="87"/>
  <c r="N68" i="87"/>
  <c r="N70" i="87"/>
  <c r="N72" i="87"/>
  <c r="N74" i="87"/>
  <c r="N76" i="87"/>
  <c r="N78" i="87"/>
  <c r="N80" i="87"/>
  <c r="N82" i="87"/>
  <c r="N84" i="87"/>
  <c r="N86" i="87"/>
  <c r="N88" i="87"/>
  <c r="N90" i="87"/>
  <c r="N92" i="87"/>
  <c r="N94" i="87"/>
  <c r="N96" i="87"/>
  <c r="N98" i="87"/>
  <c r="N100" i="87"/>
  <c r="N102" i="87"/>
  <c r="N104" i="87"/>
  <c r="N106" i="87"/>
  <c r="N108" i="87"/>
  <c r="N110" i="87"/>
  <c r="N112" i="87"/>
  <c r="N114" i="87"/>
  <c r="N116" i="87"/>
  <c r="N118" i="87"/>
  <c r="N120" i="87"/>
  <c r="N122" i="87"/>
  <c r="N5" i="87"/>
  <c r="N7" i="87"/>
  <c r="N9" i="87"/>
  <c r="N11" i="87"/>
  <c r="N13" i="87"/>
  <c r="N15" i="87"/>
  <c r="N17" i="87"/>
  <c r="N19" i="87"/>
  <c r="N21" i="87"/>
  <c r="N23" i="87"/>
  <c r="N25" i="87"/>
  <c r="N27" i="87"/>
  <c r="N29" i="87"/>
  <c r="N31" i="87"/>
  <c r="N33" i="87"/>
  <c r="N35" i="87"/>
  <c r="N37" i="87"/>
  <c r="N39" i="87"/>
  <c r="N41" i="87"/>
  <c r="N43" i="87"/>
  <c r="N45" i="87"/>
  <c r="N47" i="87"/>
  <c r="N49" i="87"/>
  <c r="N51" i="87"/>
  <c r="N53" i="87"/>
  <c r="N55" i="87"/>
  <c r="N59" i="87"/>
  <c r="N63" i="87"/>
  <c r="N67" i="87"/>
  <c r="N71" i="87"/>
  <c r="N75" i="87"/>
  <c r="N79" i="87"/>
  <c r="N83" i="87"/>
  <c r="N87" i="87"/>
  <c r="N91" i="87"/>
  <c r="N95" i="87"/>
  <c r="N99" i="87"/>
  <c r="N103" i="87"/>
  <c r="N107" i="87"/>
  <c r="N111" i="87"/>
  <c r="N115" i="87"/>
  <c r="N119" i="87"/>
  <c r="N57" i="87"/>
  <c r="N61" i="87"/>
  <c r="N65" i="87"/>
  <c r="N69" i="87"/>
  <c r="N73" i="87"/>
  <c r="N77" i="87"/>
  <c r="N81" i="87"/>
  <c r="N85" i="87"/>
  <c r="N89" i="87"/>
  <c r="N93" i="87"/>
  <c r="N97" i="87"/>
  <c r="N101" i="87"/>
  <c r="N105" i="87"/>
  <c r="N109" i="87"/>
  <c r="N113" i="87"/>
  <c r="N117" i="87"/>
  <c r="N121" i="87"/>
  <c r="N24" i="86"/>
  <c r="N20" i="86"/>
  <c r="N16" i="86"/>
  <c r="N8" i="86"/>
  <c r="N14" i="86"/>
  <c r="N10" i="86"/>
  <c r="D119" i="9"/>
  <c r="D5" i="52" s="1"/>
  <c r="B49" i="72" s="1"/>
  <c r="E14" i="74"/>
  <c r="F14" i="74"/>
  <c r="B5" i="74"/>
  <c r="C105" i="9"/>
  <c r="I4" i="52"/>
  <c r="H102" i="9"/>
  <c r="D7" i="53" s="1"/>
  <c r="B21" i="72" s="1"/>
  <c r="E118" i="9"/>
  <c r="E4" i="52" s="1"/>
  <c r="B48" i="72" s="1"/>
  <c r="D5" i="53"/>
  <c r="M48" i="9"/>
  <c r="H107" i="9"/>
  <c r="D45" i="9"/>
  <c r="N123" i="87" l="1"/>
  <c r="J10" i="85" s="1"/>
  <c r="N229" i="86"/>
  <c r="J8" i="85" s="1"/>
  <c r="D55" i="9"/>
  <c r="M53" i="9" s="1"/>
  <c r="C64" i="9"/>
  <c r="C63" i="9" s="1"/>
  <c r="C67" i="9" s="1"/>
  <c r="C68" i="9" s="1"/>
  <c r="D54" i="9" s="1"/>
  <c r="C93" i="9"/>
  <c r="C86" i="9" s="1"/>
  <c r="D53" i="9"/>
  <c r="D52" i="9"/>
  <c r="C72" i="9"/>
  <c r="C78" i="9"/>
  <c r="C73" i="9" s="1"/>
  <c r="C85" i="9"/>
  <c r="D5" i="74"/>
  <c r="C5" i="74"/>
  <c r="M49" i="9"/>
  <c r="D13" i="53"/>
  <c r="D122" i="9"/>
  <c r="H108" i="9"/>
  <c r="D15" i="53" s="1"/>
  <c r="B31" i="72" s="1"/>
  <c r="B20" i="72"/>
  <c r="D6" i="53"/>
  <c r="B22" i="72" s="1"/>
  <c r="J11" i="85" l="1"/>
  <c r="L68" i="9"/>
  <c r="M68" i="9" s="1"/>
  <c r="L63" i="9"/>
  <c r="M63" i="9" s="1"/>
  <c r="L64" i="9"/>
  <c r="M64" i="9" s="1"/>
  <c r="L66" i="9"/>
  <c r="M66" i="9" s="1"/>
  <c r="L65" i="9"/>
  <c r="M65" i="9" s="1"/>
  <c r="L67" i="9"/>
  <c r="M67" i="9" s="1"/>
  <c r="B30" i="72"/>
  <c r="D14" i="53"/>
  <c r="B32" i="72" s="1"/>
  <c r="C95" i="9"/>
  <c r="C79" i="9"/>
  <c r="G14" i="74"/>
  <c r="B6" i="74" s="1"/>
  <c r="D123" i="9"/>
  <c r="D9" i="52" s="1"/>
  <c r="D8" i="52"/>
  <c r="M69" i="9" l="1"/>
  <c r="N69" i="9" s="1"/>
  <c r="D6" i="74"/>
  <c r="C6" i="74"/>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<sst xmlns="http://schemas.openxmlformats.org/spreadsheetml/2006/main" count="10926" uniqueCount="4494">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</sst>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21495;&#27004;-&#36793;&#36828;20190517-123646-&#29579;&#36229;&#23731;20190519-1329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9">
          <cell r="C19" t="str">
            <v>公寓用房</v>
          </cell>
        </row>
        <row r="20">
          <cell r="C20" t="str">
            <v>地下车库</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cell r="C75" t="str">
            <v>商业、办公</v>
          </cell>
          <cell r="D75" t="str">
            <v>旅游</v>
          </cell>
        </row>
        <row r="106">
          <cell r="B106" t="str">
            <v>毗邻道路的类型与等级</v>
          </cell>
          <cell r="C106" t="str">
            <v>快速</v>
          </cell>
          <cell r="D106" t="str">
            <v>主干道</v>
          </cell>
          <cell r="E106" t="str">
            <v>次干道</v>
          </cell>
          <cell r="F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良好</v>
          </cell>
          <cell r="D125" t="str">
            <v>一般</v>
          </cell>
          <cell r="E125" t="str">
            <v>较差</v>
          </cell>
        </row>
      </sheetData>
      <sheetData sheetId="34"/>
      <sheetData sheetId="35"/>
      <sheetData sheetId="36"/>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商业</v>
          </cell>
          <cell r="D79" t="str">
            <v>普通商品房</v>
          </cell>
          <cell r="E79" t="str">
            <v>保障房</v>
          </cell>
        </row>
        <row r="83">
          <cell r="B83" t="str">
            <v>公共部分装修</v>
          </cell>
          <cell r="C83" t="str">
            <v>精装</v>
          </cell>
          <cell r="D83" t="str">
            <v>普装</v>
          </cell>
          <cell r="E83" t="str">
            <v>简装</v>
          </cell>
          <cell r="F83" t="str">
            <v>毛坯</v>
          </cell>
        </row>
        <row r="88">
          <cell r="B88" t="str">
            <v>物业等级</v>
          </cell>
        </row>
        <row r="93">
          <cell r="B93" t="str">
            <v>车位类型</v>
          </cell>
          <cell r="C93" t="str">
            <v>立体</v>
          </cell>
          <cell r="D93" t="str">
            <v>平面</v>
          </cell>
        </row>
        <row r="95">
          <cell r="B95" t="str">
            <v>是否直接入户</v>
          </cell>
          <cell r="C95" t="str">
            <v>是</v>
          </cell>
          <cell r="D95" t="str">
            <v>否</v>
          </cell>
        </row>
      </sheetData>
      <sheetData sheetId="44"/>
      <sheetData sheetId="45"/>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7397.6099999999988</v>
          </cell>
        </row>
        <row r="2">
          <cell r="B2">
            <v>14597.18</v>
          </cell>
        </row>
        <row r="5">
          <cell r="B5">
            <v>7423</v>
          </cell>
        </row>
        <row r="6">
          <cell r="B6">
            <v>7423</v>
          </cell>
        </row>
      </sheetData>
      <sheetData sheetId="17">
        <row r="20">
          <cell r="G20">
            <v>10034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19085</v>
      </c>
    </row>
    <row r="21" spans="1:2" s="1596" customFormat="1">
      <c r="A21" s="1594" t="s">
        <v>1231</v>
      </c>
      <c r="B21" s="1595">
        <f ca="1">'预评函-2'!D7</f>
        <v>9334</v>
      </c>
    </row>
    <row r="22" spans="1:2" s="1596" customFormat="1">
      <c r="A22" s="1594" t="s">
        <v>1232</v>
      </c>
      <c r="B22" s="1595" t="str">
        <f ca="1">'预评函-2'!D6</f>
        <v>壹亿玖仟零捌拾伍万元整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19085</v>
      </c>
    </row>
    <row r="31" spans="1:2" s="1596" customFormat="1">
      <c r="A31" s="1594" t="s">
        <v>1270</v>
      </c>
      <c r="B31" s="1595">
        <f ca="1">'预评函-2'!D15</f>
        <v>9334</v>
      </c>
    </row>
    <row r="32" spans="1:2" s="1596" customFormat="1">
      <c r="A32" s="1594" t="s">
        <v>1237</v>
      </c>
      <c r="B32" s="1595" t="str">
        <f ca="1">'预评函-2'!D14</f>
        <v>壹亿玖仟零捌拾伍万元整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11088</v>
      </c>
    </row>
    <row r="48" spans="1:2" s="1596" customFormat="1">
      <c r="A48" s="1594" t="s">
        <v>1243</v>
      </c>
      <c r="B48" s="1595">
        <f ca="1">'预评函-3'!E4</f>
        <v>5423</v>
      </c>
    </row>
    <row r="49" spans="1:2" s="1596" customFormat="1">
      <c r="A49" s="1594" t="s">
        <v>1244</v>
      </c>
      <c r="B49" s="1595" t="str">
        <f ca="1">'预评函-3'!D5</f>
        <v>壹亿壹仟零捌拾捌万元整</v>
      </c>
    </row>
    <row r="50" spans="1:2" s="1596" customFormat="1">
      <c r="A50" s="1594" t="s">
        <v>1268</v>
      </c>
      <c r="B50" s="1595" t="str">
        <f>'预评函-3'!F2</f>
        <v>建筑物价值</v>
      </c>
    </row>
    <row r="51" spans="1:2" s="1596" customFormat="1">
      <c r="A51" s="1594" t="s">
        <v>1245</v>
      </c>
      <c r="B51" s="1595">
        <f ca="1">'预评函-3'!F4</f>
        <v>7997</v>
      </c>
    </row>
    <row r="52" spans="1:2" s="1596" customFormat="1">
      <c r="A52" s="1594" t="s">
        <v>1246</v>
      </c>
      <c r="B52" s="1595">
        <f ca="1">'预评函-3'!G4</f>
        <v>3911</v>
      </c>
    </row>
    <row r="53" spans="1:2" s="1596" customFormat="1">
      <c r="A53" s="1594" t="s">
        <v>1274</v>
      </c>
      <c r="B53" s="1595" t="str">
        <f ca="1">'预评函-3'!F5</f>
        <v>柒仟玖佰玖拾柒万元整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5" t="s">
        <v>861</v>
      </c>
      <c r="C54" s="2022" t="s">
        <v>1277</v>
      </c>
    </row>
    <row r="55" spans="1:4">
      <c r="A55" s="3078"/>
      <c r="B55" s="2025" t="s">
        <v>862</v>
      </c>
      <c r="C55" s="2022" t="s">
        <v>1278</v>
      </c>
    </row>
    <row r="56" spans="1:4">
      <c r="A56" s="3078"/>
      <c r="B56" s="2025" t="s">
        <v>863</v>
      </c>
      <c r="C56" s="2022" t="s">
        <v>1282</v>
      </c>
    </row>
    <row r="57" spans="1:4">
      <c r="A57" s="307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7" t="str">
        <f>IF(B10="北京市","北京市",C10)&amp;F10&amp;IF(结果表!G1="在建","出让国有建设用地使用权及在建建筑物",IF(结果表!G1="土地","出让国有建设用地使用权",))&amp;B9&amp;"预评估"</f>
        <v>房地产抵押价值预评估</v>
      </c>
      <c r="C1" s="3088"/>
      <c r="D1" s="3088"/>
      <c r="E1" s="3088"/>
      <c r="F1" s="3088"/>
      <c r="G1" s="3088"/>
      <c r="H1" s="3088"/>
      <c r="I1" s="308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90"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91"/>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7"/>
      <c r="C16" s="3098"/>
      <c r="D16" s="3099"/>
      <c r="E16" s="2089" t="s">
        <v>1798</v>
      </c>
      <c r="F16" s="3100"/>
      <c r="G16" s="3101"/>
      <c r="H16" s="3101"/>
      <c r="I16" s="3102"/>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103" t="s">
        <v>1802</v>
      </c>
      <c r="F17" s="3104"/>
      <c r="G17" s="3104"/>
      <c r="H17" s="3104"/>
      <c r="I17" s="3105"/>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106" t="s">
        <v>1805</v>
      </c>
      <c r="F18" s="3107"/>
      <c r="G18" s="3107"/>
      <c r="H18" s="3107"/>
      <c r="I18" s="3108"/>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3" t="s">
        <v>1810</v>
      </c>
      <c r="C20" s="3094"/>
      <c r="D20" s="3095" t="s">
        <v>1811</v>
      </c>
      <c r="E20" s="3096"/>
      <c r="F20" s="2101" t="s">
        <v>1812</v>
      </c>
      <c r="G20" s="2045"/>
      <c r="H20" s="2045"/>
      <c r="I20" s="2045"/>
      <c r="J20" s="2045"/>
      <c r="K20" s="309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0"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0"/>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0"/>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1"/>
      <c r="B30" s="2038" t="s">
        <v>1829</v>
      </c>
      <c r="C30" s="3082"/>
      <c r="D30" s="308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4"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79" t="s">
        <v>1839</v>
      </c>
      <c r="T34" s="2138" t="str">
        <f>NUMBERSTRING(7-K34,1)&amp;"通"</f>
        <v>七通</v>
      </c>
      <c r="U34" s="2032"/>
      <c r="V34" s="2032"/>
    </row>
    <row r="35" spans="1:22" ht="18" customHeight="1">
      <c r="A35" s="2139"/>
      <c r="B35" s="3086" t="s">
        <v>1840</v>
      </c>
      <c r="C35" s="3086"/>
      <c r="D35" s="3086"/>
      <c r="E35" s="308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9"/>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M30" sqref="M30"/>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3">
        <f>B3+B4+B5+B6+B7+B8</f>
        <v>27845.149999999994</v>
      </c>
      <c r="E3" s="2979">
        <v>225</v>
      </c>
      <c r="F3" s="2987">
        <f>ROUND(B3/$J$8*$G$27,2)</f>
        <v>25862.45</v>
      </c>
    </row>
    <row r="4" spans="1:24">
      <c r="A4" s="2979" t="s">
        <v>3376</v>
      </c>
      <c r="B4" s="2979"/>
      <c r="C4" s="2979"/>
      <c r="D4" s="3114"/>
      <c r="E4" s="2979">
        <v>151</v>
      </c>
      <c r="F4" s="2987"/>
    </row>
    <row r="5" spans="1:24">
      <c r="A5" s="2979" t="s">
        <v>3377</v>
      </c>
      <c r="B5" s="2979"/>
      <c r="C5" s="2979"/>
      <c r="D5" s="3114"/>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4"/>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4"/>
      <c r="E7" s="3022">
        <f>123-4</f>
        <v>119</v>
      </c>
      <c r="F7" s="2987">
        <f>ROUND(B7/$J$8*$G$27,2)</f>
        <v>14485.24</v>
      </c>
      <c r="H7" s="2999" t="s">
        <v>3384</v>
      </c>
      <c r="I7" s="2999" t="s">
        <v>3385</v>
      </c>
      <c r="J7" s="3021">
        <v>25392.68</v>
      </c>
      <c r="K7" s="3021"/>
      <c r="L7" s="3021">
        <v>25692.68</v>
      </c>
    </row>
    <row r="8" spans="1:24">
      <c r="A8" s="2980" t="s">
        <v>3386</v>
      </c>
      <c r="B8" s="2979"/>
      <c r="C8" s="2979"/>
      <c r="D8" s="3115"/>
      <c r="E8" s="2979">
        <v>203</v>
      </c>
      <c r="F8" s="2987">
        <f>ROUND(B8/$J$8*$G$27,2)</f>
        <v>0</v>
      </c>
      <c r="H8" s="3116" t="s">
        <v>3387</v>
      </c>
      <c r="I8" s="3116"/>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7" t="s">
        <v>3389</v>
      </c>
      <c r="B15" s="3118"/>
      <c r="C15" s="3118"/>
      <c r="D15" s="3118"/>
      <c r="E15" s="3118"/>
      <c r="F15" s="3118"/>
      <c r="G15" s="3118"/>
      <c r="H15" s="3118"/>
      <c r="I15" s="3118"/>
      <c r="J15" s="3118"/>
      <c r="K15" s="3118"/>
      <c r="L15" s="3118"/>
      <c r="M15" s="3118"/>
      <c r="N15" s="3118"/>
      <c r="O15" s="3118"/>
      <c r="P15" s="3118"/>
      <c r="Q15" s="3118"/>
      <c r="R15" s="3118"/>
      <c r="S15" s="3118"/>
      <c r="T15" s="3118"/>
      <c r="U15" s="3118"/>
      <c r="V15" s="3118"/>
      <c r="W15" s="3118"/>
      <c r="X15" s="3119"/>
    </row>
    <row r="16" spans="1:24">
      <c r="A16" s="3117" t="s">
        <v>4196</v>
      </c>
      <c r="B16" s="3118"/>
      <c r="C16" s="3118"/>
      <c r="D16" s="3118"/>
      <c r="E16" s="3118"/>
      <c r="F16" s="3118"/>
      <c r="G16" s="3118"/>
      <c r="H16" s="3118"/>
      <c r="I16" s="3118"/>
      <c r="J16" s="3118"/>
      <c r="K16" s="3118"/>
      <c r="L16" s="3118"/>
      <c r="M16" s="3118"/>
      <c r="N16" s="3118"/>
      <c r="O16" s="3118"/>
      <c r="P16" s="3118"/>
      <c r="Q16" s="3118"/>
      <c r="R16" s="3118"/>
      <c r="S16" s="3118"/>
      <c r="T16" s="3118"/>
      <c r="U16" s="3118"/>
      <c r="V16" s="3118"/>
      <c r="W16" s="3118"/>
      <c r="X16" s="3119"/>
    </row>
    <row r="17" spans="1:24">
      <c r="A17" s="3120" t="s">
        <v>3390</v>
      </c>
      <c r="B17" s="3121"/>
      <c r="C17" s="3121"/>
      <c r="D17" s="3121"/>
      <c r="E17" s="3121"/>
      <c r="F17" s="3121"/>
      <c r="G17" s="3121"/>
      <c r="H17" s="3121"/>
      <c r="I17" s="3121"/>
      <c r="J17" s="3121"/>
      <c r="K17" s="3121"/>
      <c r="L17" s="3121"/>
      <c r="M17" s="3121"/>
      <c r="N17" s="3121"/>
      <c r="O17" s="3121"/>
      <c r="P17" s="3121"/>
      <c r="Q17" s="3121"/>
      <c r="R17" s="3121"/>
      <c r="S17" s="3121"/>
      <c r="T17" s="3121"/>
      <c r="U17" s="3121"/>
      <c r="V17" s="3121"/>
      <c r="W17" s="3121"/>
      <c r="X17" s="3122"/>
    </row>
    <row r="19" spans="1:24">
      <c r="B19" s="2982"/>
    </row>
    <row r="23" spans="1:24">
      <c r="A23" s="3111" t="s">
        <v>3391</v>
      </c>
      <c r="B23" s="3111"/>
      <c r="C23" s="3111"/>
      <c r="D23" s="3111"/>
    </row>
    <row r="24" spans="1:24">
      <c r="A24" s="2987">
        <v>1</v>
      </c>
      <c r="B24" s="2988" t="s">
        <v>3392</v>
      </c>
      <c r="C24" s="2988" t="s">
        <v>3393</v>
      </c>
      <c r="D24" s="2988" t="s">
        <v>3394</v>
      </c>
    </row>
    <row r="25" spans="1:24">
      <c r="A25" s="2987"/>
      <c r="B25" s="2987"/>
      <c r="C25" s="2988" t="s">
        <v>3395</v>
      </c>
      <c r="D25" s="2988" t="s">
        <v>3396</v>
      </c>
      <c r="F25" s="3111" t="s">
        <v>3397</v>
      </c>
      <c r="G25" s="3112"/>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2" t="s">
        <v>1935</v>
      </c>
      <c r="B2" s="3132"/>
      <c r="C2" s="3132"/>
      <c r="D2" s="970" t="s">
        <v>1911</v>
      </c>
      <c r="E2" s="2229" t="s">
        <v>1912</v>
      </c>
      <c r="F2" s="1395"/>
      <c r="G2" s="2230"/>
      <c r="H2" s="2231"/>
      <c r="I2" s="2232" t="s">
        <v>1936</v>
      </c>
      <c r="J2" s="1395"/>
      <c r="K2" s="1395"/>
      <c r="L2" s="1395"/>
      <c r="M2" s="1395"/>
      <c r="N2" s="1430"/>
      <c r="O2" s="1395"/>
      <c r="P2" s="1395"/>
    </row>
    <row r="3" spans="1:16" ht="15.75" thickBot="1">
      <c r="A3" s="3133" t="s">
        <v>1909</v>
      </c>
      <c r="B3" s="3133"/>
      <c r="C3" s="3133"/>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4"/>
      <c r="B4" s="3135"/>
      <c r="C4" s="3136"/>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7" t="s">
        <v>1914</v>
      </c>
      <c r="C5" s="3137"/>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7" t="s">
        <v>1915</v>
      </c>
      <c r="C6" s="3137"/>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29"/>
      <c r="B7" s="3130"/>
      <c r="C7" s="3131"/>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6" t="s">
        <v>1939</v>
      </c>
      <c r="L16" s="3127"/>
      <c r="M16" s="3127"/>
      <c r="N16" s="3127"/>
      <c r="O16" s="3127"/>
      <c r="P16" s="3128"/>
    </row>
    <row r="17" spans="1:19" ht="15">
      <c r="A17" s="2244" t="s">
        <v>1940</v>
      </c>
      <c r="B17" s="2245" t="s">
        <v>1941</v>
      </c>
      <c r="C17" s="2246" t="s">
        <v>1942</v>
      </c>
      <c r="D17" s="2247" t="s">
        <v>1930</v>
      </c>
      <c r="E17" s="2248" t="s">
        <v>1931</v>
      </c>
      <c r="F17" s="2249"/>
      <c r="G17" s="2250"/>
      <c r="H17" s="2251" t="s">
        <v>1943</v>
      </c>
      <c r="I17" s="2252" t="s">
        <v>1928</v>
      </c>
      <c r="J17" s="1395"/>
      <c r="K17" s="3123" t="s">
        <v>1944</v>
      </c>
      <c r="L17" s="3124"/>
      <c r="M17" s="3125"/>
      <c r="N17" s="3123" t="s">
        <v>1945</v>
      </c>
      <c r="O17" s="3124"/>
      <c r="P17" s="3125"/>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2500</v>
      </c>
      <c r="M6" s="75">
        <f t="shared" ref="M6:M14" si="0">ROUND(K6*L6/10000,0)</f>
        <v>5112</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0.02</v>
      </c>
      <c r="AN6" s="2311" t="s">
        <v>4199</v>
      </c>
      <c r="AO6" s="55">
        <f ca="1">SUMIF(INDIRECT("'"&amp;AN6&amp;"'"&amp;"!A:A"),"总价",INDIRECT("'"&amp;AN6&amp;"'"&amp;"!B:B"))</f>
        <v>19550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2500</v>
      </c>
      <c r="M16" s="102">
        <f>SUM(M6:M14)</f>
        <v>5112</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8" t="s">
        <v>2080</v>
      </c>
      <c r="B1" s="3139"/>
      <c r="C1" s="3139"/>
      <c r="D1" s="3139"/>
      <c r="E1" s="3139"/>
      <c r="F1" s="3139"/>
      <c r="G1" s="313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8" sqref="C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26508</v>
      </c>
      <c r="C5" s="1746">
        <f ca="1">ROUND(B5*10000/$B$1,0)</f>
        <v>9520</v>
      </c>
      <c r="D5" s="1746">
        <f ca="1">ROUND(B5*10000/$B$2,0)</f>
        <v>4824</v>
      </c>
      <c r="E5" s="1745"/>
      <c r="F5" s="1743"/>
      <c r="G5" s="1743"/>
    </row>
    <row r="6" spans="1:10" ht="16.5">
      <c r="A6" s="1746" t="s">
        <v>1352</v>
      </c>
      <c r="B6" s="1746">
        <f ca="1">SUM(G14:G23)</f>
        <v>26508</v>
      </c>
      <c r="C6" s="1746">
        <f ca="1">ROUND(B6*10000/$B$1,0)</f>
        <v>9520</v>
      </c>
      <c r="D6" s="1746">
        <f ca="1">ROUND(B6*10000/$B$2,0)</f>
        <v>4824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19085</v>
      </c>
      <c r="E14" s="1744">
        <f ca="1">ROUND(D14*10000/B14,0)</f>
        <v>9334</v>
      </c>
      <c r="F14" s="1744">
        <f ca="1">ROUND(D14*10000/C14,0)</f>
        <v>4730</v>
      </c>
      <c r="G14" s="1744">
        <f ca="1">结果表!D122</f>
        <v>19085</v>
      </c>
      <c r="H14" s="1744" t="str">
        <f>结果表!D124</f>
        <v>——</v>
      </c>
      <c r="I14" s="1744" t="str">
        <f>结果表!D126</f>
        <v>——</v>
      </c>
      <c r="J14" s="1743"/>
    </row>
    <row r="15" spans="1:10" ht="16.5">
      <c r="A15" s="1742" t="s">
        <v>1345</v>
      </c>
      <c r="B15" s="1749">
        <f>[2]系统读取表!$B$1</f>
        <v>7397.6099999999988</v>
      </c>
      <c r="C15" s="1749">
        <f>[2]系统读取表!$B$2</f>
        <v>14597.18</v>
      </c>
      <c r="D15" s="1749">
        <f>[2]系统读取表!$B$5</f>
        <v>7423</v>
      </c>
      <c r="E15" s="1744">
        <f t="shared" ref="E15:E23" si="0">ROUND(D15*10000/B15,0)</f>
        <v>10034</v>
      </c>
      <c r="F15" s="1744">
        <f t="shared" ref="F15:F23" si="1">ROUND(D15*10000/C15,0)</f>
        <v>5085</v>
      </c>
      <c r="G15" s="1750">
        <f>[2]系统读取表!$B$6</f>
        <v>7423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173" t="str">
        <f>项目基本情况!S2</f>
        <v>房地产</v>
      </c>
      <c r="B2" s="3174"/>
      <c r="C2" s="3174"/>
      <c r="D2" s="3174"/>
      <c r="E2" s="3174"/>
      <c r="F2" s="3174"/>
      <c r="G2" s="3174"/>
      <c r="H2" s="3174"/>
      <c r="I2" s="3175"/>
    </row>
    <row r="3" spans="1:12" ht="12.75">
      <c r="A3" s="3177" t="s">
        <v>2119</v>
      </c>
      <c r="B3" s="3178"/>
      <c r="C3" s="3178"/>
      <c r="D3" s="3178"/>
      <c r="E3" s="3178"/>
      <c r="F3" s="3178"/>
      <c r="G3" s="3178"/>
      <c r="H3" s="3178"/>
      <c r="I3" s="3178"/>
    </row>
    <row r="4" spans="1:12" ht="14.25">
      <c r="A4" s="2428" t="s">
        <v>2120</v>
      </c>
      <c r="B4" s="2429" t="s">
        <v>2121</v>
      </c>
      <c r="C4" s="2430" t="s">
        <v>3360</v>
      </c>
      <c r="D4" s="2430" t="s">
        <v>4199</v>
      </c>
      <c r="E4" s="3170" t="s">
        <v>2122</v>
      </c>
      <c r="F4" s="3171"/>
      <c r="G4" s="3171"/>
      <c r="H4" s="3171"/>
      <c r="I4" s="317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3" t="s">
        <v>2123</v>
      </c>
      <c r="B5" s="3079">
        <v>25</v>
      </c>
      <c r="C5" s="3156"/>
      <c r="D5" s="3176"/>
      <c r="E5" s="140" t="s">
        <v>2124</v>
      </c>
      <c r="F5" s="2432"/>
      <c r="G5" s="2432"/>
      <c r="H5" s="2432"/>
      <c r="I5" s="1834"/>
    </row>
    <row r="6" spans="1:12" ht="12.75">
      <c r="A6" s="3153"/>
      <c r="B6" s="3079"/>
      <c r="C6" s="3157"/>
      <c r="D6" s="3176"/>
      <c r="E6" s="140" t="s">
        <v>2125</v>
      </c>
      <c r="F6" s="2432"/>
      <c r="G6" s="2432"/>
      <c r="H6" s="2432"/>
      <c r="I6" s="1834"/>
    </row>
    <row r="7" spans="1:12" ht="12.75">
      <c r="A7" s="3153"/>
      <c r="B7" s="3079"/>
      <c r="C7" s="3158"/>
      <c r="D7" s="3176"/>
      <c r="E7" s="140" t="s">
        <v>2126</v>
      </c>
      <c r="F7" s="2432"/>
      <c r="G7" s="2432"/>
      <c r="H7" s="2432"/>
      <c r="I7" s="1834"/>
    </row>
    <row r="8" spans="1:12" ht="12.75">
      <c r="A8" s="3153" t="s">
        <v>2127</v>
      </c>
      <c r="B8" s="3079">
        <v>15</v>
      </c>
      <c r="C8" s="3156"/>
      <c r="D8" s="3176"/>
      <c r="E8" s="140" t="s">
        <v>2128</v>
      </c>
      <c r="F8" s="2432"/>
      <c r="G8" s="2432"/>
      <c r="H8" s="2432"/>
      <c r="I8" s="1834"/>
    </row>
    <row r="9" spans="1:12" ht="12.75">
      <c r="A9" s="3153"/>
      <c r="B9" s="3079"/>
      <c r="C9" s="3158"/>
      <c r="D9" s="3176"/>
      <c r="E9" s="140" t="s">
        <v>2129</v>
      </c>
      <c r="F9" s="2432"/>
      <c r="G9" s="2432"/>
      <c r="H9" s="2432"/>
      <c r="I9" s="1834"/>
    </row>
    <row r="10" spans="1:12" ht="12.75">
      <c r="A10" s="3153" t="s">
        <v>2130</v>
      </c>
      <c r="B10" s="3079">
        <v>15</v>
      </c>
      <c r="C10" s="3156"/>
      <c r="D10" s="3176"/>
      <c r="E10" s="140" t="s">
        <v>2131</v>
      </c>
      <c r="F10" s="2432"/>
      <c r="G10" s="2432"/>
      <c r="H10" s="2432"/>
      <c r="I10" s="1834"/>
    </row>
    <row r="11" spans="1:12" ht="12.75">
      <c r="A11" s="3153"/>
      <c r="B11" s="3079"/>
      <c r="C11" s="3158"/>
      <c r="D11" s="3176"/>
      <c r="E11" s="140" t="s">
        <v>2132</v>
      </c>
      <c r="F11" s="2432"/>
      <c r="G11" s="2432"/>
      <c r="H11" s="2432"/>
      <c r="I11" s="1834"/>
    </row>
    <row r="12" spans="1:12" ht="12.75">
      <c r="A12" s="3153" t="s">
        <v>2133</v>
      </c>
      <c r="B12" s="3079">
        <v>15</v>
      </c>
      <c r="C12" s="3156"/>
      <c r="D12" s="3176"/>
      <c r="E12" s="140" t="s">
        <v>2134</v>
      </c>
      <c r="F12" s="2432"/>
      <c r="G12" s="2432"/>
      <c r="H12" s="2432"/>
      <c r="I12" s="1834"/>
    </row>
    <row r="13" spans="1:12" ht="12.75">
      <c r="A13" s="3153"/>
      <c r="B13" s="3079"/>
      <c r="C13" s="3158"/>
      <c r="D13" s="3176"/>
      <c r="E13" s="140" t="s">
        <v>2135</v>
      </c>
      <c r="F13" s="2432"/>
      <c r="G13" s="2432"/>
      <c r="H13" s="2432"/>
      <c r="I13" s="1834"/>
    </row>
    <row r="14" spans="1:12" ht="12.75">
      <c r="A14" s="3153" t="s">
        <v>2136</v>
      </c>
      <c r="B14" s="3079">
        <v>30</v>
      </c>
      <c r="C14" s="3156">
        <v>1</v>
      </c>
      <c r="D14" s="3176">
        <v>1</v>
      </c>
      <c r="E14" s="140" t="s">
        <v>2137</v>
      </c>
      <c r="F14" s="2432"/>
      <c r="G14" s="2432"/>
      <c r="H14" s="2432"/>
      <c r="I14" s="1834"/>
    </row>
    <row r="15" spans="1:12" ht="12.75">
      <c r="A15" s="3153"/>
      <c r="B15" s="3079"/>
      <c r="C15" s="3157"/>
      <c r="D15" s="3176"/>
      <c r="E15" s="140" t="s">
        <v>2138</v>
      </c>
      <c r="F15" s="2432"/>
      <c r="G15" s="2432"/>
      <c r="H15" s="2432"/>
      <c r="I15" s="1834"/>
    </row>
    <row r="16" spans="1:12" ht="12.75">
      <c r="A16" s="3153"/>
      <c r="B16" s="3079"/>
      <c r="C16" s="3158"/>
      <c r="D16" s="3176"/>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18619</v>
      </c>
      <c r="D19" s="144">
        <f ca="1">SUMIF(INDIRECT("'"&amp;D4&amp;"'"&amp;"!A:A"),结果表!B19,INDIRECT("'"&amp;D4&amp;"'"&amp;"!B:B"))</f>
        <v>19550</v>
      </c>
      <c r="E19" s="2437" t="s">
        <v>2147</v>
      </c>
      <c r="F19" s="2438" t="s">
        <v>2146</v>
      </c>
      <c r="G19" s="145">
        <f ca="1">ROUND(C19*$C$18+D19*$D$18,0)</f>
        <v>19085</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9106</v>
      </c>
      <c r="D20" s="147">
        <f ca="1">SUMIF(INDIRECT("'"&amp;D4&amp;"'"&amp;"!A:A"),结果表!B20,INDIRECT("'"&amp;D4&amp;"'"&amp;"!B:B"))</f>
        <v>9561</v>
      </c>
      <c r="E20" s="2440"/>
      <c r="F20" s="1250" t="s">
        <v>2150</v>
      </c>
      <c r="G20" s="148">
        <f ca="1">ROUND(C20*$C$18+D20*$D$18,0)</f>
        <v>9334</v>
      </c>
      <c r="H20" s="983" t="s">
        <v>2151</v>
      </c>
      <c r="I20" s="138"/>
    </row>
    <row r="21" spans="1:35" ht="15" customHeight="1" thickBot="1">
      <c r="A21" s="1003"/>
      <c r="B21" s="2441" t="s">
        <v>2152</v>
      </c>
      <c r="C21" s="789">
        <f ca="1">ROUND(C19*10000/L19,0)</f>
        <v>4615</v>
      </c>
      <c r="D21" s="790">
        <f ca="1">ROUND(D19*10000/L19,0)</f>
        <v>4845</v>
      </c>
      <c r="E21" s="1003"/>
      <c r="F21" s="2441" t="s">
        <v>2152</v>
      </c>
      <c r="G21" s="149">
        <f ca="1">ROUND(G19*10000/L19,0)</f>
        <v>4730</v>
      </c>
      <c r="H21" s="2442" t="s">
        <v>2151</v>
      </c>
      <c r="I21" s="138"/>
    </row>
    <row r="22" spans="1:35" ht="15" thickBot="1">
      <c r="A22" s="2283" t="s">
        <v>2153</v>
      </c>
      <c r="B22" s="2443"/>
      <c r="C22" s="2444"/>
      <c r="D22" s="791">
        <f ca="1">IF(C19&lt;D19,D19/C19-1,C19/D19-1)</f>
        <v>5.0002685428862881E-2</v>
      </c>
      <c r="E22" s="138"/>
      <c r="F22" s="138"/>
      <c r="G22" s="138"/>
      <c r="H22" s="138"/>
      <c r="I22" s="138"/>
    </row>
    <row r="23" spans="1:35" ht="13.5" thickBot="1">
      <c r="A23" s="2421"/>
      <c r="B23" s="2421"/>
      <c r="C23" s="2421"/>
      <c r="D23" s="2421"/>
      <c r="E23" s="138"/>
      <c r="F23" s="138"/>
      <c r="G23" s="138"/>
      <c r="H23" s="138"/>
      <c r="I23" s="138"/>
    </row>
    <row r="24" spans="1:35" ht="14.25">
      <c r="A24" s="3147" t="s">
        <v>2154</v>
      </c>
      <c r="B24" s="2438" t="s">
        <v>2146</v>
      </c>
      <c r="C24" s="145">
        <f>IF(B30=0,0,D30)</f>
        <v>0</v>
      </c>
      <c r="D24" s="2445"/>
      <c r="E24" s="138"/>
      <c r="F24" s="138"/>
      <c r="G24" s="138"/>
      <c r="H24" s="138"/>
      <c r="I24" s="138"/>
    </row>
    <row r="25" spans="1:35" ht="14.25">
      <c r="A25" s="3148"/>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19085</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11088</v>
      </c>
      <c r="D34" s="1058">
        <f ca="1">IF(C33="自定义",ROUND(C34/C32,3),IF(C33="收益比率",SUMIF(INDIRECT("'"&amp;D33&amp;"'"&amp;"!b:b"),"土地收益比率",INDIRECT("'"&amp;D33&amp;"'"&amp;"!c:c")),SUMIF(INDIRECT("'"&amp;D33&amp;"'"&amp;"!b:b"),"土地成本比率",INDIRECT("'"&amp;D33&amp;"'"&amp;"!c:c"))))</f>
        <v>0.58099999999999996</v>
      </c>
      <c r="E34" s="2460" t="s">
        <v>2165</v>
      </c>
      <c r="F34" s="1739"/>
      <c r="G34" s="138"/>
      <c r="H34" s="138"/>
      <c r="I34" s="138"/>
    </row>
    <row r="35" spans="1:15" ht="15.75" thickBot="1">
      <c r="A35" s="2461"/>
      <c r="B35" s="2462" t="s">
        <v>2166</v>
      </c>
      <c r="C35" s="1444">
        <f ca="1">IF(C33="自定义",F35,ROUND(C32*D35,0))</f>
        <v>7997</v>
      </c>
      <c r="D35" s="1445">
        <f ca="1">IF(C33="自定义",ROUND(C35/C32,3),IF(C33="收益比率",SUMIF(INDIRECT("'"&amp;D33&amp;"'"&amp;"!b:b"),"建筑物收益比率",INDIRECT("'"&amp;D33&amp;"'"&amp;"!c:c")),SUMIF(INDIRECT("'"&amp;D33&amp;"'"&amp;"!b:b"),"建筑物成本比率",INDIRECT("'"&amp;D33&amp;"'"&amp;"!c:c"))))</f>
        <v>0.41899999999999998</v>
      </c>
      <c r="E35" s="2463" t="s">
        <v>2167</v>
      </c>
      <c r="F35" s="163"/>
      <c r="G35" s="138"/>
      <c r="H35" s="138"/>
      <c r="I35" s="138"/>
    </row>
    <row r="36" spans="1:15" ht="15.75" thickBot="1">
      <c r="A36" s="3165" t="s">
        <v>2168</v>
      </c>
      <c r="B36" s="2464" t="s">
        <v>2169</v>
      </c>
      <c r="C36" s="154"/>
      <c r="D36" s="2465"/>
      <c r="E36" s="2466"/>
      <c r="F36" s="2467"/>
      <c r="G36" s="138"/>
      <c r="H36" s="138"/>
      <c r="I36" s="138"/>
    </row>
    <row r="37" spans="1:15" ht="15.75" thickBot="1">
      <c r="A37" s="3166"/>
      <c r="B37" s="2269" t="s">
        <v>2170</v>
      </c>
      <c r="C37" s="156"/>
      <c r="D37" s="1395"/>
      <c r="E37" s="1395"/>
      <c r="F37" s="2467"/>
      <c r="G37" s="138"/>
      <c r="H37" s="138"/>
      <c r="I37" s="138"/>
    </row>
    <row r="38" spans="1:15" ht="15.75" thickBot="1">
      <c r="A38" s="3167"/>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144" t="s">
        <v>2182</v>
      </c>
      <c r="B45" s="3145"/>
      <c r="C45" s="3146"/>
      <c r="D45" s="164">
        <f ca="1">ROUND(H101*F45,0)</f>
        <v>19085</v>
      </c>
      <c r="E45" s="165" t="s">
        <v>2183</v>
      </c>
      <c r="F45" s="166">
        <v>1</v>
      </c>
      <c r="G45" s="167" t="s">
        <v>2184</v>
      </c>
      <c r="H45" s="138"/>
      <c r="I45" s="138"/>
      <c r="J45" s="3204" t="s">
        <v>2185</v>
      </c>
      <c r="K45" s="3204"/>
      <c r="L45" s="3204"/>
      <c r="M45" s="3204"/>
      <c r="N45" s="3204"/>
      <c r="O45" s="3204"/>
    </row>
    <row r="46" spans="1:15" ht="14.25" customHeight="1">
      <c r="A46" s="3141" t="s">
        <v>2186</v>
      </c>
      <c r="B46" s="3142"/>
      <c r="C46" s="3142"/>
      <c r="D46" s="3142"/>
      <c r="E46" s="3142"/>
      <c r="F46" s="3142"/>
      <c r="G46" s="3143"/>
      <c r="H46" s="2483"/>
      <c r="I46" s="168"/>
      <c r="J46" s="1812">
        <v>1</v>
      </c>
      <c r="K46" s="3204" t="s">
        <v>2187</v>
      </c>
      <c r="L46" s="3204"/>
      <c r="M46" s="3224"/>
      <c r="N46" s="3224"/>
      <c r="O46" s="3224"/>
    </row>
    <row r="47" spans="1:15" ht="12" customHeight="1">
      <c r="A47" s="169" t="s">
        <v>2188</v>
      </c>
      <c r="B47" s="170"/>
      <c r="C47" s="171"/>
      <c r="D47" s="172" t="s">
        <v>2189</v>
      </c>
      <c r="E47" s="24" t="s">
        <v>2190</v>
      </c>
      <c r="F47" s="173" t="s">
        <v>2191</v>
      </c>
      <c r="G47" s="174" t="s">
        <v>2192</v>
      </c>
      <c r="H47" s="2483"/>
      <c r="I47" s="168"/>
      <c r="J47" s="1812">
        <v>2</v>
      </c>
      <c r="K47" s="3204" t="s">
        <v>2193</v>
      </c>
      <c r="L47" s="3204"/>
      <c r="M47" s="3225">
        <f>'数据-取费表'!B2</f>
        <v>43598</v>
      </c>
      <c r="N47" s="3225"/>
      <c r="O47" s="3225"/>
    </row>
    <row r="48" spans="1:15" ht="25.5">
      <c r="A48" s="3172" t="s">
        <v>2194</v>
      </c>
      <c r="B48" s="3155"/>
      <c r="C48" s="3155"/>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204" t="s">
        <v>2197</v>
      </c>
      <c r="L48" s="3204"/>
      <c r="M48" s="3226">
        <f ca="1">H101</f>
        <v>19085</v>
      </c>
      <c r="N48" s="3226"/>
      <c r="O48" s="3226"/>
    </row>
    <row r="49" spans="1:35" ht="25.5" customHeight="1">
      <c r="A49" s="176" t="s">
        <v>2198</v>
      </c>
      <c r="B49" s="3140" t="s">
        <v>2199</v>
      </c>
      <c r="C49" s="3140"/>
      <c r="D49" s="177">
        <v>0</v>
      </c>
      <c r="E49" s="23" t="s">
        <v>2200</v>
      </c>
      <c r="F49" s="28" t="s">
        <v>34</v>
      </c>
      <c r="G49" s="3210"/>
      <c r="H49" s="138"/>
      <c r="I49" s="2486"/>
      <c r="J49" s="1812">
        <v>4</v>
      </c>
      <c r="K49" s="3204" t="str">
        <f>IF(项目基本情况!E8="房地产抵押价值","房地产抵押价值","抵押担保权已注销时的房地产抵押价值")</f>
        <v>房地产抵押价值</v>
      </c>
      <c r="L49" s="3204"/>
      <c r="M49" s="3226">
        <f ca="1">IF(项目基本情况!E8="房地产抵押价值",H107,H109)</f>
        <v>19085</v>
      </c>
      <c r="N49" s="3226"/>
      <c r="O49" s="3226"/>
    </row>
    <row r="50" spans="1:35" ht="25.5" customHeight="1">
      <c r="A50" s="178"/>
      <c r="B50" s="3140" t="s">
        <v>2201</v>
      </c>
      <c r="C50" s="3140"/>
      <c r="D50" s="179"/>
      <c r="E50" s="31"/>
      <c r="F50" s="180"/>
      <c r="G50" s="3211"/>
      <c r="H50" s="138"/>
      <c r="I50" s="2486"/>
      <c r="J50" s="3204" t="s">
        <v>2202</v>
      </c>
      <c r="K50" s="3204"/>
      <c r="L50" s="3204"/>
      <c r="M50" s="3204"/>
      <c r="N50" s="3204"/>
      <c r="O50" s="3204"/>
    </row>
    <row r="51" spans="1:35" ht="12" customHeight="1">
      <c r="A51" s="181"/>
      <c r="B51" s="3140" t="s">
        <v>2203</v>
      </c>
      <c r="C51" s="3140"/>
      <c r="D51" s="182"/>
      <c r="E51" s="30"/>
      <c r="F51" s="180"/>
      <c r="G51" s="3212"/>
      <c r="H51" s="138"/>
      <c r="I51" s="2486"/>
      <c r="J51" s="2487" t="s">
        <v>2204</v>
      </c>
      <c r="K51" s="3204" t="s">
        <v>2205</v>
      </c>
      <c r="L51" s="3204"/>
      <c r="M51" s="2487" t="s">
        <v>2206</v>
      </c>
      <c r="N51" s="2487" t="s">
        <v>2207</v>
      </c>
      <c r="O51" s="2487" t="s">
        <v>2208</v>
      </c>
    </row>
    <row r="52" spans="1:35" ht="24" customHeight="1">
      <c r="A52" s="183" t="s">
        <v>2209</v>
      </c>
      <c r="B52" s="3140" t="s">
        <v>2210</v>
      </c>
      <c r="C52" s="3140"/>
      <c r="D52" s="182">
        <f ca="1">ROUND(D45*'数据-取费表'!B41/(1+'数据-取费表'!C42),0)</f>
        <v>1018</v>
      </c>
      <c r="E52" s="11" t="s">
        <v>2211</v>
      </c>
      <c r="F52" s="184">
        <f>'数据-取费表'!B41</f>
        <v>5.6000000000000001E-2</v>
      </c>
      <c r="G52" s="2488"/>
      <c r="H52" s="138"/>
      <c r="I52" s="2486"/>
      <c r="J52" s="1812">
        <v>1</v>
      </c>
      <c r="K52" s="3205" t="s">
        <v>2212</v>
      </c>
      <c r="L52" s="3205"/>
      <c r="M52" s="1754">
        <f>D48</f>
        <v>0</v>
      </c>
      <c r="N52" s="1812" t="str">
        <f>E48</f>
        <v>销售额×税（费）率</v>
      </c>
      <c r="O52" s="1755" t="str">
        <f>F48</f>
        <v>免征</v>
      </c>
    </row>
    <row r="53" spans="1:35" ht="12" customHeight="1">
      <c r="A53" s="183" t="s">
        <v>2213</v>
      </c>
      <c r="B53" s="3163" t="s">
        <v>2214</v>
      </c>
      <c r="C53" s="3164"/>
      <c r="D53" s="182">
        <f ca="1">ROUND(D45*'数据-取费表'!B41/(1+'数据-取费表'!C42),0)</f>
        <v>1018</v>
      </c>
      <c r="E53" s="11" t="s">
        <v>2211</v>
      </c>
      <c r="F53" s="184">
        <f>'数据-取费表'!B41</f>
        <v>5.6000000000000001E-2</v>
      </c>
      <c r="G53" s="2488"/>
      <c r="H53" s="138"/>
      <c r="I53" s="2486"/>
      <c r="J53" s="1812">
        <v>2</v>
      </c>
      <c r="K53" s="3205" t="s">
        <v>2215</v>
      </c>
      <c r="L53" s="3205"/>
      <c r="M53" s="1754">
        <f t="shared" ref="M53:O54" ca="1" si="0">D55</f>
        <v>10</v>
      </c>
      <c r="N53" s="1812" t="str">
        <f t="shared" si="0"/>
        <v>销售额×税（费）率</v>
      </c>
      <c r="O53" s="1755">
        <f t="shared" si="0"/>
        <v>5.0000000000000001E-4</v>
      </c>
    </row>
    <row r="54" spans="1:35" ht="12" customHeight="1">
      <c r="A54" s="183" t="s">
        <v>2216</v>
      </c>
      <c r="B54" s="3163" t="s">
        <v>2217</v>
      </c>
      <c r="C54" s="3164"/>
      <c r="D54" s="182">
        <f ca="1">C68</f>
        <v>1018</v>
      </c>
      <c r="E54" s="30" t="s">
        <v>2218</v>
      </c>
      <c r="F54" s="184">
        <f>'数据-取费表'!B41</f>
        <v>5.6000000000000001E-2</v>
      </c>
      <c r="G54" s="2488"/>
      <c r="H54" s="2489"/>
      <c r="I54" s="2486"/>
      <c r="J54" s="1812">
        <v>3</v>
      </c>
      <c r="K54" s="3205" t="s">
        <v>2219</v>
      </c>
      <c r="L54" s="3205"/>
      <c r="M54" s="1754">
        <f t="shared" ca="1" si="0"/>
        <v>10802</v>
      </c>
      <c r="N54" s="1812" t="str">
        <f t="shared" si="0"/>
        <v>增值额×税（费）率</v>
      </c>
      <c r="O54" s="1756" t="str">
        <f t="shared" si="0"/>
        <v>——</v>
      </c>
    </row>
    <row r="55" spans="1:35" ht="24" customHeight="1">
      <c r="A55" s="3154" t="s">
        <v>2220</v>
      </c>
      <c r="B55" s="3155"/>
      <c r="C55" s="3155"/>
      <c r="D55" s="185">
        <f ca="1">IF(H55="个人住宅",0,ROUND(D45*I55,0))</f>
        <v>10</v>
      </c>
      <c r="E55" s="11" t="s">
        <v>2221</v>
      </c>
      <c r="F55" s="184">
        <f>IF(H55="正常",I55,"免征")</f>
        <v>5.0000000000000001E-4</v>
      </c>
      <c r="G55" s="2488"/>
      <c r="H55" s="2485" t="s">
        <v>2222</v>
      </c>
      <c r="I55" s="186">
        <f>'数据-取费表'!B49</f>
        <v>5.0000000000000001E-4</v>
      </c>
      <c r="J55" s="1812" t="str">
        <f>IF(H59="非个人房产","",4)</f>
        <v/>
      </c>
      <c r="K55" s="3205" t="str">
        <f>IF(H59="非个人房产","——","个人所得税")</f>
        <v>——</v>
      </c>
      <c r="L55" s="3205"/>
      <c r="M55" s="1757" t="str">
        <f>D59</f>
        <v>——</v>
      </c>
      <c r="N55" s="1810" t="str">
        <f>E59</f>
        <v>——</v>
      </c>
      <c r="O55" s="1758" t="str">
        <f>F59</f>
        <v>——</v>
      </c>
    </row>
    <row r="56" spans="1:35" ht="24.75">
      <c r="A56" s="3154" t="s">
        <v>2223</v>
      </c>
      <c r="B56" s="3155"/>
      <c r="C56" s="3155"/>
      <c r="D56" s="185">
        <f ca="1">IF(H56="个人住宅",D57,D58)</f>
        <v>10802</v>
      </c>
      <c r="E56" s="11" t="s">
        <v>2224</v>
      </c>
      <c r="F56" s="184" t="str">
        <f>IF(H56="正常",F58,"免征")</f>
        <v>——</v>
      </c>
      <c r="G56" s="2490" t="s">
        <v>2225</v>
      </c>
      <c r="H56" s="2491" t="s">
        <v>2222</v>
      </c>
      <c r="I56" s="2492"/>
      <c r="J56" s="1812" t="str">
        <f>IF(项目基本情况!K6="上海银行",IF(J55="",4,J55+1),"")</f>
        <v/>
      </c>
      <c r="K56" s="3228" t="str">
        <f>IF(项目基本情况!K6="上海银行","其他处置费用","")</f>
        <v/>
      </c>
      <c r="L56" s="3229"/>
      <c r="M56" s="1754" t="str">
        <f>IF(项目基本情况!K6="上海银行",M69,"")</f>
        <v/>
      </c>
      <c r="N56" s="3231" t="str">
        <f>IF(项目基本情况!K6="上海银行","包含处置中涉及的律师、诉讼、拍卖、评估等费用","")</f>
        <v/>
      </c>
      <c r="O56" s="3232"/>
    </row>
    <row r="57" spans="1:35" ht="12.75">
      <c r="A57" s="183" t="s">
        <v>2198</v>
      </c>
      <c r="B57" s="3170" t="s">
        <v>2226</v>
      </c>
      <c r="C57" s="3179"/>
      <c r="D57" s="187">
        <v>0</v>
      </c>
      <c r="E57" s="23" t="s">
        <v>2200</v>
      </c>
      <c r="F57" s="155"/>
      <c r="G57" s="2488"/>
      <c r="H57" s="2492"/>
      <c r="I57" s="2492"/>
      <c r="J57" s="3205">
        <f>IF(AND(J55="",J56=""),4,IF(项目基本情况!K6="上海银行",结果表!J56+1,结果表!J55+1))</f>
        <v>4</v>
      </c>
      <c r="K57" s="3205" t="s">
        <v>2227</v>
      </c>
      <c r="L57" s="2493" t="s">
        <v>2228</v>
      </c>
      <c r="M57" s="1759"/>
      <c r="N57" s="1760">
        <f ca="1">SUMIF(M52:M56,"&lt;9e307")</f>
        <v>10812</v>
      </c>
      <c r="O57" s="2494"/>
      <c r="P57" s="1753">
        <f ca="1">N57/M49</f>
        <v>0.56651820801676711</v>
      </c>
    </row>
    <row r="58" spans="1:35" ht="24.75">
      <c r="A58" s="183" t="s">
        <v>2209</v>
      </c>
      <c r="B58" s="3170" t="s">
        <v>2229</v>
      </c>
      <c r="C58" s="3171"/>
      <c r="D58" s="185">
        <f ca="1">IF(H58="转让取得",C81,C97)</f>
        <v>10802</v>
      </c>
      <c r="E58" s="11" t="s">
        <v>2224</v>
      </c>
      <c r="F58" s="24" t="s">
        <v>34</v>
      </c>
      <c r="G58" s="2488"/>
      <c r="H58" s="2491" t="s">
        <v>2230</v>
      </c>
      <c r="I58" s="2492"/>
      <c r="J58" s="3205"/>
      <c r="K58" s="3205"/>
      <c r="L58" s="2493" t="s">
        <v>2231</v>
      </c>
      <c r="M58" s="1761"/>
      <c r="N58" s="2495" t="str">
        <f ca="1">NUMBERSTRING(INT(N57*10000),2)&amp;"元整"</f>
        <v>壹亿零捌佰壹拾贰万元整</v>
      </c>
      <c r="O58" s="2496"/>
    </row>
    <row r="59" spans="1:35" ht="24.75" thickBot="1">
      <c r="A59" s="3208" t="s">
        <v>2232</v>
      </c>
      <c r="B59" s="3209"/>
      <c r="C59" s="3209"/>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206">
        <f>J57+1</f>
        <v>5</v>
      </c>
      <c r="K59" s="3205" t="s">
        <v>2234</v>
      </c>
      <c r="L59" s="1812" t="s">
        <v>2228</v>
      </c>
      <c r="M59" s="1762"/>
      <c r="N59" s="1763">
        <f ca="1">M49-N57</f>
        <v>8273</v>
      </c>
      <c r="O59" s="2498"/>
    </row>
    <row r="60" spans="1:35" ht="12" customHeight="1">
      <c r="A60" s="2499"/>
      <c r="B60" s="2421"/>
      <c r="C60" s="2421"/>
      <c r="D60" s="2421"/>
      <c r="E60" s="2170"/>
      <c r="F60" s="2492"/>
      <c r="G60" s="2492"/>
      <c r="H60" s="2500"/>
      <c r="I60" s="138"/>
      <c r="J60" s="3207"/>
      <c r="K60" s="3205"/>
      <c r="L60" s="2493" t="s">
        <v>2231</v>
      </c>
      <c r="M60" s="1761"/>
      <c r="N60" s="2495" t="str">
        <f ca="1">NUMBERSTRING(INT(N59*10000),2)&amp;"元整"</f>
        <v>捌仟贰佰柒拾叁万元整</v>
      </c>
      <c r="O60" s="2496"/>
    </row>
    <row r="61" spans="1:35" ht="13.5" thickBot="1">
      <c r="A61" s="3152" t="s">
        <v>2235</v>
      </c>
      <c r="B61" s="3152"/>
      <c r="C61" s="3152"/>
      <c r="D61" s="3152"/>
      <c r="E61" s="3152"/>
      <c r="F61" s="2492"/>
      <c r="G61" s="2492"/>
      <c r="H61" s="2500"/>
      <c r="I61" s="138"/>
      <c r="J61" s="1812">
        <f>J59+1</f>
        <v>6</v>
      </c>
      <c r="K61" s="3205" t="s">
        <v>2236</v>
      </c>
      <c r="L61" s="3205"/>
      <c r="M61" s="1764"/>
      <c r="N61" s="1765">
        <f ca="1">ROUND(N59*10000/'数据-汇总表'!E3,0)</f>
        <v>4046</v>
      </c>
      <c r="O61" s="2501"/>
    </row>
    <row r="62" spans="1:35" ht="12.75">
      <c r="A62" s="3168" t="s">
        <v>2237</v>
      </c>
      <c r="B62" s="3169"/>
      <c r="C62" s="1804"/>
      <c r="D62" s="1804" t="s">
        <v>2238</v>
      </c>
      <c r="E62" s="192" t="s">
        <v>2239</v>
      </c>
      <c r="F62" s="2492"/>
      <c r="G62" s="2492"/>
      <c r="H62" s="2500"/>
      <c r="I62" s="138"/>
    </row>
    <row r="63" spans="1:35" ht="12.75">
      <c r="A63" s="203" t="s">
        <v>775</v>
      </c>
      <c r="B63" s="193" t="s">
        <v>2240</v>
      </c>
      <c r="C63" s="194">
        <f ca="1">ROUND((C64+C65)/(1+'数据-取费表'!C42),0)</f>
        <v>18176</v>
      </c>
      <c r="D63" s="195"/>
      <c r="E63" s="196"/>
      <c r="F63" s="2492"/>
      <c r="G63" s="2492"/>
      <c r="H63" s="2500"/>
      <c r="I63" s="138"/>
      <c r="J63" s="3230" t="s">
        <v>2241</v>
      </c>
      <c r="K63" s="2502" t="s">
        <v>2242</v>
      </c>
      <c r="L63" s="1752">
        <f ca="1">IF(M49&gt;10000,M49*0.5%,IF(AND(M49&gt;1000,M49&lt;=10000),M49*1%,IF(AND(M49&gt;100,M49&lt;=1000),M49*3%,IF(AND(M49&gt;10,M49&lt;=100),M49*5%,M49*8%))))</f>
        <v>95.424999999999997</v>
      </c>
      <c r="M63" s="24">
        <f ca="1">ROUND(L63,1)</f>
        <v>95.4</v>
      </c>
      <c r="Z63" s="2426"/>
      <c r="AI63" s="2427"/>
    </row>
    <row r="64" spans="1:35" ht="14.25" customHeight="1">
      <c r="A64" s="197" t="s">
        <v>770</v>
      </c>
      <c r="B64" s="198" t="s">
        <v>2243</v>
      </c>
      <c r="C64" s="199">
        <f ca="1">D45</f>
        <v>19085</v>
      </c>
      <c r="D64" s="200" t="s">
        <v>32</v>
      </c>
      <c r="E64" s="201"/>
      <c r="F64" s="2492"/>
      <c r="G64" s="2492"/>
      <c r="H64" s="2500"/>
      <c r="I64" s="138"/>
      <c r="J64" s="3230"/>
      <c r="K64" s="2502" t="s">
        <v>2244</v>
      </c>
      <c r="L64" s="1752">
        <f ca="1">IF(M49&gt;2000,M49*0.5%,IF(AND(M49&gt;1000,M49&lt;=2000),M49*0.6%,IF(AND(M49&gt;500,M49&lt;=1000),M49*0.7%,IF(AND(M49&gt;200,M49&lt;=500),M49*0.8%,IF(AND(M49&gt;100,M49&lt;=200),M49*0.9%,IF(AND(M49&gt;50,M49&lt;=100),M49*1%,IF(AND(M49&gt;20,M49&lt;=50),M49*1.5%,IF(AND(M49&gt;10,M49&lt;=20),M49*2%,IF(AND(M49&gt;1,M49&lt;=10),M49*2.5%)))))))))</f>
        <v>95.424999999999997</v>
      </c>
      <c r="M64" s="24">
        <f t="shared" ref="M64:M65" ca="1" si="1">ROUND(L64,1)</f>
        <v>95.4</v>
      </c>
      <c r="N64" s="138" t="s">
        <v>2245</v>
      </c>
      <c r="Z64" s="2426"/>
      <c r="AI64" s="2427"/>
    </row>
    <row r="65" spans="1:35" ht="14.25" customHeight="1">
      <c r="A65" s="197" t="s">
        <v>771</v>
      </c>
      <c r="B65" s="198" t="s">
        <v>2246</v>
      </c>
      <c r="C65" s="202"/>
      <c r="D65" s="200"/>
      <c r="E65" s="201"/>
      <c r="F65" s="2492"/>
      <c r="G65" s="2492"/>
      <c r="H65" s="2500"/>
      <c r="I65" s="138"/>
      <c r="J65" s="3230"/>
      <c r="K65" s="2502" t="s">
        <v>2247</v>
      </c>
      <c r="L65" s="1752">
        <f ca="1">IF(M49&gt;1000,M49*0.1%,IF(AND(M49&gt;500,M49&lt;=1000),M49*0.5%,IF(AND(M49&gt;50,M49&lt;=500),M49*1%,IF(AND(M49&gt;1,M49&lt;=50),M49*1.5%))))</f>
        <v>19.085000000000001</v>
      </c>
      <c r="M65" s="24">
        <f t="shared" ca="1" si="1"/>
        <v>19.100000000000001</v>
      </c>
      <c r="N65" s="138" t="s">
        <v>2245</v>
      </c>
      <c r="Z65" s="2426"/>
      <c r="AI65" s="2427"/>
    </row>
    <row r="66" spans="1:35" ht="14.25" customHeight="1">
      <c r="A66" s="203" t="s">
        <v>772</v>
      </c>
      <c r="B66" s="204" t="s">
        <v>2248</v>
      </c>
      <c r="C66" s="205"/>
      <c r="D66" s="206" t="s">
        <v>32</v>
      </c>
      <c r="E66" s="1776" t="s">
        <v>1367</v>
      </c>
      <c r="F66" s="2492"/>
      <c r="G66" s="2492"/>
      <c r="H66" s="2500"/>
      <c r="I66" s="138"/>
      <c r="J66" s="3230"/>
      <c r="K66" s="2502" t="s">
        <v>2249</v>
      </c>
      <c r="L66" s="1752">
        <f ca="1">M49*0.5%</f>
        <v>95.424999999999997</v>
      </c>
      <c r="M66" s="24">
        <f ca="1">IF(L66&gt;0.5,0.5,ROUND(L66,0))</f>
        <v>0.5</v>
      </c>
      <c r="N66" s="138" t="s">
        <v>2250</v>
      </c>
      <c r="Z66" s="2426"/>
      <c r="AI66" s="2427"/>
    </row>
    <row r="67" spans="1:35" ht="14.25" customHeight="1">
      <c r="A67" s="203" t="s">
        <v>773</v>
      </c>
      <c r="B67" s="204" t="s">
        <v>2251</v>
      </c>
      <c r="C67" s="207">
        <f ca="1">C63-C66</f>
        <v>18176</v>
      </c>
      <c r="D67" s="200" t="s">
        <v>32</v>
      </c>
      <c r="E67" s="201"/>
      <c r="F67" s="2492"/>
      <c r="G67" s="2492"/>
      <c r="H67" s="2500"/>
      <c r="I67" s="138"/>
      <c r="J67" s="3230"/>
      <c r="K67" s="2502" t="s">
        <v>2252</v>
      </c>
      <c r="L67" s="1752">
        <f ca="1">IF(M49&gt;=10000,(8.25+(M49-10000)*0.01%),IF(AND(M49&gt;=8000,M49&lt;10000),(7.85+(M49-8000)*0.02%),IF(AND(M49&gt;=5000,M49&lt;8000),(6.65+(M49-5000)*0.04%),IF(AND(M49&gt;=2000,M49&lt;5000),(4.25+(PM49-2000)*0.08%),IF(AND(M49&gt;=1000,M49&lt;2000),(2.75+(M49-1000)*0.15%),IF(AND(M49&gt;=100,M49&lt;1000),(0.5+(M49-100)*0.25%),IF(AND(M49&gt;0,M49&lt;100),M49*0.5%)))))))</f>
        <v>9.1585000000000001</v>
      </c>
      <c r="M67" s="24">
        <f ca="1">ROUND(L67*0.9,1)</f>
        <v>8.1999999999999993</v>
      </c>
      <c r="Z67" s="2426"/>
      <c r="AI67" s="2427"/>
    </row>
    <row r="68" spans="1:35" ht="14.25" customHeight="1" thickBot="1">
      <c r="A68" s="208" t="s">
        <v>774</v>
      </c>
      <c r="B68" s="209" t="s">
        <v>2253</v>
      </c>
      <c r="C68" s="210">
        <f ca="1">IF(C67&lt;=0,0,ROUND(C67*D68,0))</f>
        <v>1018</v>
      </c>
      <c r="D68" s="211">
        <f>'数据-取费表'!B41</f>
        <v>5.6000000000000001E-2</v>
      </c>
      <c r="E68" s="212"/>
      <c r="F68" s="2492"/>
      <c r="G68" s="2492"/>
      <c r="H68" s="2500"/>
      <c r="I68" s="138"/>
      <c r="J68" s="3230"/>
      <c r="K68" s="2502" t="s">
        <v>2254</v>
      </c>
      <c r="L68" s="1752">
        <f ca="1">IF(M49&gt;10000,M49*0.5%,IF(AND(M49&gt;5000,M49&lt;=10000),M49*1%,IF(AND(M49&gt;1000,M49&lt;=5000),M49*2%,IF(AND(M49&gt;200,M49&lt;=1000),M49*3%,M49*5%))))</f>
        <v>95.424999999999997</v>
      </c>
      <c r="M68" s="24">
        <f ca="1">ROUND(L68,1)</f>
        <v>95.4</v>
      </c>
      <c r="Z68" s="2426"/>
      <c r="AI68" s="2427"/>
    </row>
    <row r="69" spans="1:35" s="2449" customFormat="1" ht="16.5" customHeight="1">
      <c r="A69" s="2503"/>
      <c r="B69" s="2504"/>
      <c r="C69" s="2505"/>
      <c r="D69" s="2506"/>
      <c r="E69" s="2507"/>
      <c r="F69" s="2170"/>
      <c r="G69" s="2170"/>
      <c r="H69" s="2169"/>
      <c r="I69" s="2421"/>
      <c r="J69" s="3230"/>
      <c r="K69" s="2502" t="s">
        <v>2255</v>
      </c>
      <c r="L69" s="2508"/>
      <c r="M69" s="24">
        <f ca="1">ROUND(SUM(M63:M68),0)</f>
        <v>314</v>
      </c>
      <c r="N69" s="1753">
        <f ca="1">M69/M49</f>
        <v>1.6452711553576107E-2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89" t="s">
        <v>2256</v>
      </c>
      <c r="B70" s="3190"/>
      <c r="C70" s="3190"/>
      <c r="D70" s="3190"/>
      <c r="E70" s="3190"/>
      <c r="F70" s="3190"/>
      <c r="G70" s="3190"/>
      <c r="H70" s="319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8" t="s">
        <v>2237</v>
      </c>
      <c r="B71" s="3169"/>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18176</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109</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63" t="s">
        <v>2265</v>
      </c>
      <c r="F76" s="3140"/>
      <c r="G76" s="3140"/>
      <c r="H76" s="318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109</v>
      </c>
      <c r="D78" s="226">
        <f>'数据-取费表'!B43</f>
        <v>6.000000000000001E-3</v>
      </c>
      <c r="E78" s="3149" t="s">
        <v>2270</v>
      </c>
      <c r="F78" s="3150"/>
      <c r="G78" s="3150"/>
      <c r="H78" s="315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18067</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165.75229357798165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10802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9" t="s">
        <v>2274</v>
      </c>
      <c r="B83" s="3190"/>
      <c r="C83" s="3190"/>
      <c r="D83" s="3190"/>
      <c r="E83" s="3190"/>
      <c r="F83" s="3190"/>
      <c r="G83" s="3190"/>
      <c r="H83" s="319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8" t="s">
        <v>2237</v>
      </c>
      <c r="B84" s="3169"/>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18176</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109</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49" t="s">
        <v>2283</v>
      </c>
      <c r="F91" s="3150"/>
      <c r="G91" s="3150"/>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49" t="s">
        <v>2287</v>
      </c>
      <c r="F92" s="3150"/>
      <c r="G92" s="3150"/>
      <c r="H92" s="315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109</v>
      </c>
      <c r="D93" s="226">
        <f>'数据-取费表'!B43</f>
        <v>6.000000000000001E-3</v>
      </c>
      <c r="E93" s="3149" t="s">
        <v>2270</v>
      </c>
      <c r="F93" s="3150"/>
      <c r="G93" s="3150"/>
      <c r="H93" s="315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160" t="s">
        <v>2291</v>
      </c>
      <c r="F94" s="3161"/>
      <c r="G94" s="3161"/>
      <c r="H94" s="316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18067</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165.75229357798165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10802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4" t="s">
        <v>2293</v>
      </c>
      <c r="B100" s="3135"/>
      <c r="C100" s="3135"/>
      <c r="D100" s="3151"/>
      <c r="E100" s="3135" t="s">
        <v>2294</v>
      </c>
      <c r="F100" s="3135"/>
      <c r="G100" s="3135"/>
      <c r="H100" s="3151"/>
      <c r="I100" s="138"/>
    </row>
    <row r="101" spans="1:35" ht="18.75" customHeight="1">
      <c r="A101" s="3213" t="s">
        <v>2295</v>
      </c>
      <c r="B101" s="3214"/>
      <c r="C101" s="736" t="str">
        <f>C4</f>
        <v>成本法</v>
      </c>
      <c r="D101" s="737" t="str">
        <f>D4</f>
        <v>收益法</v>
      </c>
      <c r="E101" s="3227" t="s">
        <v>2296</v>
      </c>
      <c r="F101" s="3181"/>
      <c r="G101" s="2523" t="s">
        <v>2297</v>
      </c>
      <c r="H101" s="1048">
        <f ca="1">H118</f>
        <v>19085</v>
      </c>
      <c r="I101" s="138"/>
    </row>
    <row r="102" spans="1:35" ht="18.75" customHeight="1">
      <c r="A102" s="3183" t="s">
        <v>2298</v>
      </c>
      <c r="B102" s="2523" t="s">
        <v>2297</v>
      </c>
      <c r="C102" s="736">
        <f ca="1">C19</f>
        <v>18619</v>
      </c>
      <c r="D102" s="737">
        <f ca="1">D19</f>
        <v>19550</v>
      </c>
      <c r="E102" s="3227"/>
      <c r="F102" s="3181"/>
      <c r="G102" s="2523" t="s">
        <v>2299</v>
      </c>
      <c r="H102" s="371">
        <f ca="1">I118</f>
        <v>9334</v>
      </c>
      <c r="I102" s="138"/>
    </row>
    <row r="103" spans="1:35" ht="42.75" customHeight="1">
      <c r="A103" s="3183"/>
      <c r="B103" s="2523" t="s">
        <v>2299</v>
      </c>
      <c r="C103" s="738">
        <f ca="1">C20</f>
        <v>9106</v>
      </c>
      <c r="D103" s="739">
        <f ca="1">D20</f>
        <v>9561</v>
      </c>
      <c r="E103" s="3222" t="s">
        <v>2300</v>
      </c>
      <c r="F103" s="3223"/>
      <c r="G103" s="2524" t="s">
        <v>2301</v>
      </c>
      <c r="H103" s="1048">
        <f>IF(D36="正常操作",H104+H105+H106,H105+H106)</f>
        <v>0</v>
      </c>
      <c r="I103" s="138"/>
    </row>
    <row r="104" spans="1:35" ht="18.75" customHeight="1">
      <c r="A104" s="3183" t="s">
        <v>2302</v>
      </c>
      <c r="B104" s="2525" t="s">
        <v>2297</v>
      </c>
      <c r="C104" s="740">
        <f ca="1">H118</f>
        <v>19085</v>
      </c>
      <c r="D104" s="741"/>
      <c r="E104" s="2269" t="s">
        <v>2303</v>
      </c>
      <c r="F104" s="2260"/>
      <c r="G104" s="2524" t="s">
        <v>2301</v>
      </c>
      <c r="H104" s="1049">
        <f>IF(D36="同一抵押权人同一抵押物续贷",C36&amp;"（未扣减，详见特别提示）",C36)</f>
        <v>0</v>
      </c>
      <c r="I104" s="138"/>
    </row>
    <row r="105" spans="1:35" ht="18.75" customHeight="1" thickBot="1">
      <c r="A105" s="3184"/>
      <c r="B105" s="2526" t="s">
        <v>2299</v>
      </c>
      <c r="C105" s="742">
        <f ca="1">I118</f>
        <v>9334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80" t="str">
        <f>IF(项目基本情况!E8="已注销","——","3.房地产抵押价值")</f>
        <v>3.房地产抵押价值</v>
      </c>
      <c r="F107" s="3181"/>
      <c r="G107" s="2523" t="s">
        <v>2297</v>
      </c>
      <c r="H107" s="1048">
        <f ca="1">IF(E107="——","——",H101-H103)</f>
        <v>19085</v>
      </c>
      <c r="I107" s="138"/>
    </row>
    <row r="108" spans="1:35" ht="18.75" customHeight="1">
      <c r="A108" s="138"/>
      <c r="B108" s="138"/>
      <c r="C108" s="138"/>
      <c r="D108" s="138"/>
      <c r="E108" s="3180"/>
      <c r="F108" s="3181"/>
      <c r="G108" s="2523" t="s">
        <v>2299</v>
      </c>
      <c r="H108" s="371">
        <f ca="1">ROUND(H107*10000/'数据-汇总表'!E3,0)</f>
        <v>9334</v>
      </c>
      <c r="I108" s="138"/>
    </row>
    <row r="109" spans="1:35" ht="18.75" customHeight="1">
      <c r="A109" s="138"/>
      <c r="B109" s="138"/>
      <c r="C109" s="138"/>
      <c r="D109" s="138"/>
      <c r="E109" s="3180" t="str">
        <f>IF(项目基本情况!E8="已注销及未注销","4.抵押担保权已注销时的房地产抵押价值",IF(项目基本情况!E8="已注销","3.抵押担保权已注销时的房地产抵押价值","——"))</f>
        <v>——</v>
      </c>
      <c r="F109" s="3181"/>
      <c r="G109" s="2523" t="s">
        <v>2297</v>
      </c>
      <c r="H109" s="348" t="str">
        <f>IF(E109="——","——",H101-H105-H106)</f>
        <v>——</v>
      </c>
      <c r="I109" s="138"/>
    </row>
    <row r="110" spans="1:35" ht="18.75" customHeight="1">
      <c r="A110" s="138"/>
      <c r="B110" s="138"/>
      <c r="C110" s="138"/>
      <c r="D110" s="138"/>
      <c r="E110" s="3180"/>
      <c r="F110" s="3181"/>
      <c r="G110" s="2523" t="s">
        <v>2299</v>
      </c>
      <c r="H110" s="371" t="str">
        <f>IF(H109="——","——",ROUND(H109*10000/'数据-汇总表'!E3,0))</f>
        <v>——</v>
      </c>
      <c r="I110" s="138"/>
    </row>
    <row r="111" spans="1:35" ht="18.75" customHeight="1">
      <c r="A111" s="138"/>
      <c r="B111" s="138"/>
      <c r="C111" s="138"/>
      <c r="D111" s="138"/>
      <c r="E111" s="3215" t="str">
        <f>IF(项目基本情况!E9="抵押净值",IF(OR(项目基本情况!E8="已注销",项目基本情况!E8="房地产抵押价值"),"4.抵押净值","5.抵押净值"),"——")</f>
        <v>——</v>
      </c>
      <c r="F111" s="3216"/>
      <c r="G111" s="2523" t="s">
        <v>2297</v>
      </c>
      <c r="H111" s="1048" t="str">
        <f>IF(E111="——","——",N59)</f>
        <v>——</v>
      </c>
      <c r="I111" s="138"/>
    </row>
    <row r="112" spans="1:35" ht="18.75" customHeight="1" thickBot="1">
      <c r="A112" s="138"/>
      <c r="B112" s="138"/>
      <c r="C112" s="138"/>
      <c r="D112" s="138"/>
      <c r="E112" s="3217"/>
      <c r="F112" s="3218"/>
      <c r="G112" s="2528" t="s">
        <v>2299</v>
      </c>
      <c r="H112" s="790" t="str">
        <f>IF(E111="——","——",N61)</f>
        <v>——</v>
      </c>
      <c r="I112" s="138"/>
    </row>
    <row r="113" spans="1:11" ht="18.75" customHeight="1">
      <c r="A113" s="138"/>
      <c r="B113" s="138"/>
      <c r="C113" s="138"/>
      <c r="D113" s="138"/>
      <c r="E113" s="3185" t="s">
        <v>2305</v>
      </c>
      <c r="F113" s="3185"/>
      <c r="G113" s="3185"/>
      <c r="H113" s="3185"/>
      <c r="I113" s="138"/>
    </row>
    <row r="114" spans="1:11" ht="3.75" customHeight="1">
      <c r="A114" s="2421"/>
      <c r="B114" s="2421"/>
      <c r="C114" s="2421"/>
      <c r="D114" s="2421"/>
      <c r="E114" s="2499"/>
      <c r="F114" s="2499"/>
      <c r="G114" s="2499"/>
      <c r="H114" s="2499"/>
      <c r="I114" s="2421"/>
    </row>
    <row r="115" spans="1:11" ht="18.75" customHeight="1">
      <c r="A115" s="3198" t="s">
        <v>2307</v>
      </c>
      <c r="B115" s="3199"/>
      <c r="C115" s="3199"/>
      <c r="D115" s="3199"/>
      <c r="E115" s="3199"/>
      <c r="F115" s="3199"/>
      <c r="G115" s="3199"/>
      <c r="H115" s="3199"/>
      <c r="I115" s="3200"/>
    </row>
    <row r="116" spans="1:11" ht="27" customHeight="1">
      <c r="A116" s="3079" t="s">
        <v>2308</v>
      </c>
      <c r="B116" s="3186" t="s">
        <v>2309</v>
      </c>
      <c r="C116" s="3186" t="s">
        <v>2310</v>
      </c>
      <c r="D116" s="3202" t="s">
        <v>2311</v>
      </c>
      <c r="E116" s="3203"/>
      <c r="F116" s="3194" t="s">
        <v>3367</v>
      </c>
      <c r="G116" s="3194"/>
      <c r="H116" s="3079" t="s">
        <v>2312</v>
      </c>
      <c r="I116" s="3079"/>
    </row>
    <row r="117" spans="1:11" ht="18.75" customHeight="1">
      <c r="A117" s="3079"/>
      <c r="B117" s="3187"/>
      <c r="C117" s="3187"/>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11088</v>
      </c>
      <c r="E118" s="1798">
        <f ca="1">ROUND(IF(C33="自定义",IF(D32="楼面单价",C34,D118*10000/B118),I118-G118),0)</f>
        <v>5423</v>
      </c>
      <c r="F118" s="1798">
        <f ca="1">ROUND(IF(D32="总价",C35,G118*B118/10000),0)</f>
        <v>7997</v>
      </c>
      <c r="G118" s="1798">
        <f ca="1">ROUND(IF(D32="楼面单价",C35,F118*10000/B118),0)</f>
        <v>3911</v>
      </c>
      <c r="H118" s="1798">
        <f ca="1">ROUND(IF(D32="总价",C32,I118*B118/10000),0)</f>
        <v>19085</v>
      </c>
      <c r="I118" s="1798">
        <f ca="1">ROUND(IF(D32="楼面单价",C32,H118*10000/B118),0)</f>
        <v>9334</v>
      </c>
    </row>
    <row r="119" spans="1:11" ht="18.75" customHeight="1">
      <c r="A119" s="3079" t="s">
        <v>2316</v>
      </c>
      <c r="B119" s="3079"/>
      <c r="C119" s="3079"/>
      <c r="D119" s="3191" t="str">
        <f ca="1">NUMBERSTRING(INT(D118*10000),2)&amp;"元整"</f>
        <v>壹亿壹仟零捌拾捌万元整</v>
      </c>
      <c r="E119" s="3193"/>
      <c r="F119" s="3191" t="str">
        <f ca="1">NUMBERSTRING(INT(F118*10000),2)&amp;"元整"</f>
        <v>柒仟玖佰玖拾柒万元整</v>
      </c>
      <c r="G119" s="3193"/>
      <c r="H119" s="3191" t="str">
        <f ca="1">NUMBERSTRING(INT(H118*10000),2)&amp;"元整"</f>
        <v>壹亿玖仟零捌拾伍万元整</v>
      </c>
      <c r="I119" s="3193"/>
    </row>
    <row r="120" spans="1:11" ht="18.75" customHeight="1">
      <c r="A120" s="3219" t="str">
        <f>IF(项目基本情况!B9="房地产市场价值","",MID(E103,3,LEN(E103)-2))</f>
        <v>估价师知悉的法定优先受偿款</v>
      </c>
      <c r="B120" s="3220"/>
      <c r="C120" s="3221"/>
      <c r="D120" s="3219">
        <f>H103</f>
        <v>0</v>
      </c>
      <c r="E120" s="3220"/>
      <c r="F120" s="3220"/>
      <c r="G120" s="3220"/>
      <c r="H120" s="3220"/>
      <c r="I120" s="3221"/>
      <c r="K120" s="2426" t="str">
        <f>IF(D120=0,"故，本次评估不存在"&amp;A120,"故，本次评估"&amp;A120&amp;"为人民币"&amp;D120&amp;"万元整。")</f>
        <v>故，本次评估不存在估价师知悉的法定优先受偿款</v>
      </c>
    </row>
    <row r="121" spans="1:11" ht="18.75" customHeight="1">
      <c r="A121" s="3195" t="s">
        <v>2316</v>
      </c>
      <c r="B121" s="3196"/>
      <c r="C121" s="3197"/>
      <c r="D121" s="3191" t="str">
        <f>IF(D120=0,"零元整",NUMBERSTRING(INT(D120*10000),2)&amp;"元整")</f>
        <v>零元整</v>
      </c>
      <c r="E121" s="3192"/>
      <c r="F121" s="3192"/>
      <c r="G121" s="3192"/>
      <c r="H121" s="3192"/>
      <c r="I121" s="3193"/>
    </row>
    <row r="122" spans="1:11" ht="18.75" customHeight="1">
      <c r="A122" s="3182" t="str">
        <f>IF(项目基本情况!B9="房地产市场价值","",MID(E107,3,LEN(E107)-2))</f>
        <v>房地产抵押价值</v>
      </c>
      <c r="B122" s="3182"/>
      <c r="C122" s="3182"/>
      <c r="D122" s="3219">
        <f ca="1">H107</f>
        <v>19085</v>
      </c>
      <c r="E122" s="3220"/>
      <c r="F122" s="3220"/>
      <c r="G122" s="3220"/>
      <c r="H122" s="3220"/>
      <c r="I122" s="3221"/>
    </row>
    <row r="123" spans="1:11" ht="18.75" customHeight="1">
      <c r="A123" s="3079" t="s">
        <v>2316</v>
      </c>
      <c r="B123" s="3079"/>
      <c r="C123" s="3079"/>
      <c r="D123" s="3191" t="str">
        <f ca="1">NUMBERSTRING(INT(D122*10000),2)&amp;"元整"</f>
        <v>壹亿玖仟零捌拾伍万元整</v>
      </c>
      <c r="E123" s="3192"/>
      <c r="F123" s="3192"/>
      <c r="G123" s="3192"/>
      <c r="H123" s="3192"/>
      <c r="I123" s="3193"/>
    </row>
    <row r="124" spans="1:11" ht="18.75" customHeight="1">
      <c r="A124" s="3182" t="str">
        <f>IF(项目基本情况!B9="房地产市场价值","",MID(E109,3,LEN(E109)-2))</f>
        <v/>
      </c>
      <c r="B124" s="3182"/>
      <c r="C124" s="3182"/>
      <c r="D124" s="3219" t="str">
        <f>H109</f>
        <v>——</v>
      </c>
      <c r="E124" s="3220"/>
      <c r="F124" s="3220"/>
      <c r="G124" s="3220"/>
      <c r="H124" s="3220"/>
      <c r="I124" s="3221"/>
    </row>
    <row r="125" spans="1:11" ht="18.75" customHeight="1">
      <c r="A125" s="3079" t="s">
        <v>2316</v>
      </c>
      <c r="B125" s="3079"/>
      <c r="C125" s="3079"/>
      <c r="D125" s="3191" t="e">
        <f>NUMBERSTRING(INT(D124*10000),2)&amp;"元整"</f>
        <v>#VALUE!</v>
      </c>
      <c r="E125" s="3192"/>
      <c r="F125" s="3192"/>
      <c r="G125" s="3192"/>
      <c r="H125" s="3192"/>
      <c r="I125" s="3193"/>
    </row>
    <row r="126" spans="1:11" ht="18.75" customHeight="1">
      <c r="A126" s="3182" t="str">
        <f>IF(项目基本情况!B9="房地产市场价值","",MID(E111,3,LEN(E111)-2))</f>
        <v/>
      </c>
      <c r="B126" s="3182"/>
      <c r="C126" s="3182"/>
      <c r="D126" s="3219" t="str">
        <f>H111</f>
        <v>——</v>
      </c>
      <c r="E126" s="3220"/>
      <c r="F126" s="3220"/>
      <c r="G126" s="3220"/>
      <c r="H126" s="3220"/>
      <c r="I126" s="3221"/>
    </row>
    <row r="127" spans="1:11" ht="18.75" customHeight="1">
      <c r="A127" s="3079" t="s">
        <v>2316</v>
      </c>
      <c r="B127" s="3079"/>
      <c r="C127" s="3079"/>
      <c r="D127" s="3191" t="e">
        <f>NUMBERSTRING(INT(D126*10000),2)&amp;"元整"</f>
        <v>#VALUE!</v>
      </c>
      <c r="E127" s="3192"/>
      <c r="F127" s="3192"/>
      <c r="G127" s="3192"/>
      <c r="H127" s="3192"/>
      <c r="I127" s="3193"/>
    </row>
    <row r="128" spans="1:11" ht="21.75" customHeight="1">
      <c r="A128" s="3201" t="s">
        <v>2317</v>
      </c>
      <c r="B128" s="3201"/>
      <c r="C128" s="3201"/>
      <c r="D128" s="3201"/>
      <c r="E128" s="3201"/>
      <c r="F128" s="3201"/>
      <c r="G128" s="3201"/>
      <c r="H128" s="3201"/>
      <c r="I128" s="3201"/>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5" t="str">
        <f>项目基本情况!B1</f>
        <v>房地产抵押价值预评估</v>
      </c>
      <c r="C37" s="3035"/>
      <c r="D37" s="3035"/>
      <c r="E37" s="3035"/>
      <c r="F37" s="3035"/>
      <c r="G37" s="3035"/>
      <c r="H37" s="3035"/>
      <c r="I37" s="303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G22" sqref="G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18619</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9106</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145</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1093</v>
      </c>
      <c r="D22" s="279">
        <f ca="1">C26</f>
        <v>1.4E-3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1479</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1479</v>
      </c>
      <c r="D28" s="279"/>
      <c r="E28" s="280"/>
      <c r="F28" s="290"/>
      <c r="G28" s="291"/>
    </row>
    <row r="29" spans="1:7" s="258" customFormat="1" ht="13.5" customHeight="1">
      <c r="A29" s="954"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10818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5710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5112</v>
      </c>
      <c r="D34" s="261"/>
      <c r="E34" s="264"/>
      <c r="F34" s="301">
        <f ca="1">IF('数据-取费表'!B24=0,1,IF(B1="",'数据-取费表'!N16,INDIRECT("'数据-取费表'!n"&amp;$G$1)))</f>
        <v>1</v>
      </c>
      <c r="G34" s="263" t="s">
        <v>2390</v>
      </c>
    </row>
    <row r="35" spans="1:7" ht="13.5" customHeight="1">
      <c r="A35" s="954" t="s">
        <v>796</v>
      </c>
      <c r="B35" s="259" t="s">
        <v>2391</v>
      </c>
      <c r="C35" s="264">
        <f ca="1">ROUND(C34*F35,0)</f>
        <v>153</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77</v>
      </c>
      <c r="D38" s="264"/>
      <c r="E38" s="264"/>
      <c r="F38" s="303">
        <f>'数据-取费表'!B36</f>
        <v>1.4999999999999999E-2</v>
      </c>
      <c r="G38" s="263" t="s">
        <v>2392</v>
      </c>
    </row>
    <row r="39" spans="1:7" s="258" customFormat="1" ht="13.5" customHeight="1">
      <c r="A39" s="299" t="s">
        <v>2398</v>
      </c>
      <c r="B39" s="254" t="s">
        <v>2399</v>
      </c>
      <c r="C39" s="276">
        <f ca="1">ROUND(C33*F20,0)</f>
        <v>114</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412</v>
      </c>
      <c r="D42" s="282"/>
      <c r="E42" s="282"/>
      <c r="F42" s="283"/>
      <c r="G42" s="3233" t="s">
        <v>2408</v>
      </c>
    </row>
    <row r="43" spans="1:7" ht="13.5" customHeight="1">
      <c r="A43" s="954" t="s">
        <v>792</v>
      </c>
      <c r="B43" s="259" t="s">
        <v>2409</v>
      </c>
      <c r="C43" s="282">
        <f ca="1">ROUND(IF('数据-取费表'!B22&lt;=1,C39*F22*'数据-取费表'!B21/2,C39*(POWER((1+F22),'数据-取费表'!B21/2)-1)),0)</f>
        <v>8</v>
      </c>
      <c r="D43" s="282"/>
      <c r="E43" s="282"/>
      <c r="F43" s="283"/>
      <c r="G43" s="3234"/>
    </row>
    <row r="44" spans="1:7" ht="13.5" customHeight="1">
      <c r="A44" s="954" t="s">
        <v>793</v>
      </c>
      <c r="B44" s="259" t="s">
        <v>2410</v>
      </c>
      <c r="C44" s="282">
        <f ca="1">ROUND(IF('数据-取费表'!B22&lt;=1,C40*F22*'数据-取费表'!B21/2,C40*(POWER((1+F22),'数据-取费表'!B21/2)-1)),4)</f>
        <v>1.4E-3</v>
      </c>
      <c r="D44" s="282"/>
      <c r="E44" s="282"/>
      <c r="F44" s="283"/>
      <c r="G44" s="3235"/>
    </row>
    <row r="45" spans="1:7" s="258" customFormat="1" ht="13.5" customHeight="1">
      <c r="A45" s="299" t="s">
        <v>2411</v>
      </c>
      <c r="B45" s="288" t="s">
        <v>2377</v>
      </c>
      <c r="C45" s="289">
        <f ca="1">C46</f>
        <v>1165</v>
      </c>
      <c r="D45" s="279">
        <f ca="1">C47</f>
        <v>4.0000000000000001E-3</v>
      </c>
      <c r="E45" s="280" t="s">
        <v>2403</v>
      </c>
      <c r="F45" s="290"/>
      <c r="G45" s="291" t="s">
        <v>2412</v>
      </c>
    </row>
    <row r="46" spans="1:7" s="258" customFormat="1" ht="13.5" customHeight="1">
      <c r="A46" s="954" t="s">
        <v>791</v>
      </c>
      <c r="B46" s="292" t="s">
        <v>2413</v>
      </c>
      <c r="C46" s="293">
        <f ca="1">ROUND((C33+C39)*F27,0)</f>
        <v>1165</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8042</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7801</v>
      </c>
      <c r="D51" s="276"/>
      <c r="E51" s="276"/>
      <c r="F51" s="308"/>
      <c r="G51" s="278" t="s">
        <v>2424</v>
      </c>
    </row>
    <row r="52" spans="1:7" s="252" customFormat="1" ht="16.5" thickBot="1">
      <c r="A52" s="309" t="s">
        <v>2425</v>
      </c>
      <c r="B52" s="310"/>
      <c r="C52" s="311">
        <f ca="1">C31+C51</f>
        <v>18619</v>
      </c>
      <c r="D52" s="310"/>
      <c r="E52" s="310"/>
      <c r="F52" s="310"/>
      <c r="G52" s="312"/>
    </row>
    <row r="55" spans="1:7" ht="15">
      <c r="B55" s="314" t="s">
        <v>2426</v>
      </c>
      <c r="C55" s="315"/>
    </row>
    <row r="56" spans="1:7">
      <c r="B56" s="317" t="s">
        <v>1509</v>
      </c>
      <c r="C56" s="319">
        <f ca="1">1-C57</f>
        <v>0.58099999999999996</v>
      </c>
    </row>
    <row r="57" spans="1:7">
      <c r="B57" s="317" t="s">
        <v>1510</v>
      </c>
      <c r="C57" s="318">
        <f ca="1">ROUND(C51/C52,3)</f>
        <v>0.41899999999999998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8777</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4292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130864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986833</v>
      </c>
      <c r="D22" s="279">
        <f ca="1">C26</f>
        <v>1.4E-3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9434</v>
      </c>
      <c r="D25" s="282"/>
      <c r="E25" s="285"/>
      <c r="F25" s="283"/>
      <c r="G25" s="286" t="s">
        <v>2452</v>
      </c>
    </row>
    <row r="26" spans="1:7" s="258" customFormat="1">
      <c r="A26" s="954"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1334815</v>
      </c>
      <c r="D27" s="279">
        <f ca="1">C29</f>
        <v>4.0000000000000001E-3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1334815</v>
      </c>
      <c r="D28" s="279"/>
      <c r="E28" s="280"/>
      <c r="F28" s="290"/>
      <c r="G28" s="291"/>
    </row>
    <row r="29" spans="1:7" s="258" customFormat="1" ht="13.5" customHeight="1">
      <c r="A29" s="954"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9764165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57099756</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51118850</v>
      </c>
      <c r="D34" s="261"/>
      <c r="E34" s="264"/>
      <c r="F34" s="301"/>
      <c r="G34" s="263"/>
    </row>
    <row r="35" spans="1:7" ht="13.5" customHeight="1">
      <c r="A35" s="954" t="s">
        <v>796</v>
      </c>
      <c r="B35" s="259" t="s">
        <v>2391</v>
      </c>
      <c r="C35" s="264">
        <f ca="1">ROUND(C34*F35,0)</f>
        <v>1533566</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766783</v>
      </c>
      <c r="D38" s="264"/>
      <c r="E38" s="264"/>
      <c r="F38" s="303">
        <f>'数据-取费表'!B36</f>
        <v>1.4999999999999999E-2</v>
      </c>
      <c r="G38" s="263" t="s">
        <v>2392</v>
      </c>
    </row>
    <row r="39" spans="1:7" s="258" customFormat="1" ht="13.5" customHeight="1">
      <c r="A39" s="299" t="s">
        <v>2398</v>
      </c>
      <c r="B39" s="254" t="s">
        <v>2399</v>
      </c>
      <c r="C39" s="276">
        <f ca="1">ROUND(C33*F20,0)</f>
        <v>1141995</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4198620</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4116294</v>
      </c>
      <c r="D42" s="282"/>
      <c r="E42" s="282"/>
      <c r="F42" s="283"/>
      <c r="G42" s="3233" t="s">
        <v>2455</v>
      </c>
    </row>
    <row r="43" spans="1:7" ht="13.5" customHeight="1">
      <c r="A43" s="954" t="s">
        <v>792</v>
      </c>
      <c r="B43" s="259" t="s">
        <v>2409</v>
      </c>
      <c r="C43" s="282">
        <f ca="1">ROUND(IF('数据-取费表'!B22&lt;=1,C39*F22*'数据-取费表'!B20/2,C39*(POWER((1+F22),'数据-取费表'!B20/2)-1)),0)</f>
        <v>82326</v>
      </c>
      <c r="D43" s="282"/>
      <c r="E43" s="282"/>
      <c r="F43" s="283"/>
      <c r="G43" s="3234"/>
    </row>
    <row r="44" spans="1:7" ht="13.5" customHeight="1">
      <c r="A44" s="954" t="s">
        <v>793</v>
      </c>
      <c r="B44" s="259" t="s">
        <v>2410</v>
      </c>
      <c r="C44" s="282">
        <f ca="1">ROUND(IF('数据-取费表'!B22&lt;=1,C40*F22*'数据-取费表'!B20/2,C40*(POWER((1+F22),'数据-取费表'!B20/2)-1)),4)</f>
        <v>1.4E-3</v>
      </c>
      <c r="D44" s="282"/>
      <c r="E44" s="282"/>
      <c r="F44" s="283"/>
      <c r="G44" s="3235"/>
    </row>
    <row r="45" spans="1:7" s="258" customFormat="1" ht="13.5" customHeight="1">
      <c r="A45" s="299" t="s">
        <v>2411</v>
      </c>
      <c r="B45" s="288" t="s">
        <v>2377</v>
      </c>
      <c r="C45" s="289">
        <f ca="1">C46</f>
        <v>11648350</v>
      </c>
      <c r="D45" s="279">
        <f ca="1">C47</f>
        <v>4.0000000000000001E-3</v>
      </c>
      <c r="E45" s="280" t="s">
        <v>2403</v>
      </c>
      <c r="F45" s="290"/>
      <c r="G45" s="291" t="s">
        <v>2412</v>
      </c>
    </row>
    <row r="46" spans="1:7" s="258" customFormat="1" ht="13.5" customHeight="1">
      <c r="A46" s="954" t="s">
        <v>791</v>
      </c>
      <c r="B46" s="292" t="s">
        <v>2413</v>
      </c>
      <c r="C46" s="293">
        <f ca="1">ROUND((C33+C39)*F27,0)</f>
        <v>11648350</v>
      </c>
      <c r="D46" s="307"/>
      <c r="E46" s="280"/>
      <c r="F46" s="290"/>
      <c r="G46" s="291"/>
    </row>
    <row r="47" spans="1:7" s="258" customFormat="1" ht="13.5" customHeight="1">
      <c r="A47" s="954"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80417585</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78005057</v>
      </c>
      <c r="D51" s="276"/>
      <c r="E51" s="276"/>
      <c r="F51" s="308"/>
      <c r="G51" s="278" t="s">
        <v>2424</v>
      </c>
    </row>
    <row r="52" spans="1:7" s="252" customFormat="1" ht="16.5" thickBot="1">
      <c r="A52" s="309" t="s">
        <v>2425</v>
      </c>
      <c r="B52" s="310"/>
      <c r="C52" s="311">
        <f ca="1">C31+C51</f>
        <v>87769222</v>
      </c>
      <c r="D52" s="310"/>
      <c r="E52" s="310"/>
      <c r="F52" s="310"/>
      <c r="G52" s="312"/>
    </row>
    <row r="55" spans="1:7" ht="15">
      <c r="B55" s="314" t="s">
        <v>2426</v>
      </c>
      <c r="C55" s="315"/>
    </row>
    <row r="56" spans="1:7">
      <c r="B56" s="317" t="s">
        <v>1509</v>
      </c>
      <c r="C56" s="319">
        <f ca="1">1-C57</f>
        <v>0.11099999999999999</v>
      </c>
    </row>
    <row r="57" spans="1:7">
      <c r="B57" s="317" t="s">
        <v>1510</v>
      </c>
      <c r="C57" s="318">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-340</v>
      </c>
      <c r="C2" s="320" t="s">
        <v>2459</v>
      </c>
      <c r="D2" s="320"/>
      <c r="E2" s="320"/>
      <c r="F2" s="320"/>
      <c r="G2" s="320"/>
      <c r="H2" s="320"/>
      <c r="I2" s="320"/>
      <c r="J2" s="320"/>
      <c r="K2" s="320"/>
    </row>
    <row r="3" spans="1:33" ht="18" customHeight="1" thickBot="1">
      <c r="A3" s="247" t="s">
        <v>2328</v>
      </c>
      <c r="B3" s="248">
        <f ca="1">ROUND(B2*10000/IF(C1="",'数据-汇总表'!E3,INDIRECT("'数据-取费表'!K"&amp;$K$1)),0)</f>
        <v>-166</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0.03</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6</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58</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t="e">
        <f ca="1">ROUND(SUM(C23:C25),0)</f>
        <v>#N/A</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0.03</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t="e">
        <f ca="1">ROUND(SUM(C42:C43),0)</f>
        <v>#N/A</v>
      </c>
      <c r="D41" s="279">
        <f ca="1">C44</f>
        <v>1.4E-3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3" t="s">
        <v>2408</v>
      </c>
    </row>
    <row r="43" spans="1:7" ht="13.5" customHeight="1">
      <c r="A43" s="954" t="s">
        <v>792</v>
      </c>
      <c r="B43" s="259" t="s">
        <v>2370</v>
      </c>
      <c r="C43" s="282" t="e">
        <f ca="1">ROUND(IF('数据-取费表'!B22&lt;=1,C39*F22*'数据-取费表'!B21/2,C39*(POWER((1+F22),'数据-取费表'!B21/2)-1)),0)</f>
        <v>#N/A</v>
      </c>
      <c r="D43" s="282"/>
      <c r="E43" s="282"/>
      <c r="F43" s="283"/>
      <c r="G43" s="3234"/>
    </row>
    <row r="44" spans="1:7" ht="13.5" customHeight="1">
      <c r="A44" s="954" t="s">
        <v>793</v>
      </c>
      <c r="B44" s="259" t="s">
        <v>2373</v>
      </c>
      <c r="C44" s="282">
        <f ca="1">ROUND(IF('数据-取费表'!B22&lt;=1,C40*F22*'数据-取费表'!B21/2,C40*(POWER((1+F22),'数据-取费表'!B21/2)-1)),4)</f>
        <v>1.4E-3</v>
      </c>
      <c r="D44" s="282"/>
      <c r="E44" s="282"/>
      <c r="F44" s="283"/>
      <c r="G44" s="3235"/>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t="e">
        <f ca="1">ROUND(SUM(C23:C25),0)</f>
        <v>#N/A</v>
      </c>
      <c r="D22" s="279">
        <f ca="1">C26</f>
        <v>1.4E-3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0.03</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0.02</v>
      </c>
      <c r="D40" s="280" t="s">
        <v>2403</v>
      </c>
      <c r="E40" s="276"/>
      <c r="F40" s="277"/>
      <c r="G40" s="278" t="s">
        <v>2404</v>
      </c>
    </row>
    <row r="41" spans="1:7" s="258" customFormat="1" ht="13.5" customHeight="1">
      <c r="A41" s="299" t="s">
        <v>2360</v>
      </c>
      <c r="B41" s="254" t="s">
        <v>2365</v>
      </c>
      <c r="C41" s="276" t="e">
        <f ca="1">ROUND(SUM(C42:C43),0)</f>
        <v>#N/A</v>
      </c>
      <c r="D41" s="279">
        <f ca="1">C44</f>
        <v>1.4E-3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3" t="s">
        <v>2408</v>
      </c>
    </row>
    <row r="43" spans="1:7" ht="13.5" customHeight="1">
      <c r="A43" s="954" t="s">
        <v>792</v>
      </c>
      <c r="B43" s="259" t="s">
        <v>2370</v>
      </c>
      <c r="C43" s="282" t="e">
        <f ca="1">ROUND(IF('数据-取费表'!B22&lt;=1,C39*F22*'数据-取费表'!B21/2,C39*(POWER((1+F22),'数据-取费表'!B21/2)-1)),0)</f>
        <v>#N/A</v>
      </c>
      <c r="D43" s="282"/>
      <c r="E43" s="282"/>
      <c r="F43" s="283"/>
      <c r="G43" s="3234"/>
    </row>
    <row r="44" spans="1:7" ht="13.5" customHeight="1">
      <c r="A44" s="954" t="s">
        <v>793</v>
      </c>
      <c r="B44" s="259" t="s">
        <v>2373</v>
      </c>
      <c r="C44" s="282">
        <f ca="1">ROUND(IF('数据-取费表'!B22&lt;=1,C40*F22*'数据-取费表'!B21/2,C40*(POWER((1+F22),'数据-取费表'!B21/2)-1)),4)</f>
        <v>1.4E-3</v>
      </c>
      <c r="D44" s="282"/>
      <c r="E44" s="282"/>
      <c r="F44" s="283"/>
      <c r="G44" s="3235"/>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19550</v>
      </c>
      <c r="C2" s="1848" t="s">
        <v>1512</v>
      </c>
      <c r="D2" s="1848"/>
      <c r="E2" s="1849"/>
      <c r="F2" s="1850"/>
      <c r="G2" s="1851"/>
      <c r="H2" s="1843"/>
      <c r="I2" s="1843"/>
      <c r="J2" s="1843"/>
      <c r="K2" s="1844"/>
      <c r="L2" s="1843"/>
      <c r="M2" s="1843"/>
    </row>
    <row r="3" spans="1:37" ht="18" customHeight="1" thickBot="1">
      <c r="A3" s="1852" t="s">
        <v>1513</v>
      </c>
      <c r="B3" s="1853">
        <f ca="1">IF(ISERROR(B2*10000/F43),0,ROUND(B2*10000/F43,0))</f>
        <v>9561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1345</v>
      </c>
      <c r="D5" s="1825" t="s">
        <v>1398</v>
      </c>
      <c r="E5" s="1296"/>
      <c r="F5" s="1297"/>
      <c r="G5" s="1854"/>
      <c r="H5" s="344">
        <v>1</v>
      </c>
      <c r="I5" s="345" t="s">
        <v>1397</v>
      </c>
      <c r="J5" s="1295">
        <f ca="1">J6+J10+J12</f>
        <v>0</v>
      </c>
      <c r="K5" s="1825" t="s">
        <v>1398</v>
      </c>
      <c r="L5" s="1296"/>
      <c r="M5" s="1297"/>
    </row>
    <row r="6" spans="1:37" ht="18" customHeight="1">
      <c r="A6" s="1294" t="s">
        <v>1032</v>
      </c>
      <c r="B6" s="3238" t="s">
        <v>1399</v>
      </c>
      <c r="C6" s="1299">
        <f ca="1">ROUND(F6*F8*F7*(1-F9)/10000,0)</f>
        <v>1343</v>
      </c>
      <c r="D6" s="164" t="s">
        <v>3032</v>
      </c>
      <c r="E6" s="347" t="s">
        <v>1401</v>
      </c>
      <c r="F6" s="348">
        <f ca="1">INDIRECT("'数据-取费表'!u"&amp;$G$1)</f>
        <v>2</v>
      </c>
      <c r="G6" s="1854"/>
      <c r="H6" s="1294" t="s">
        <v>1032</v>
      </c>
      <c r="I6" s="3238" t="s">
        <v>1399</v>
      </c>
      <c r="J6" s="346">
        <f ca="1">ROUND(M6*M8*M7*(1-M9)/10000,0)</f>
        <v>0</v>
      </c>
      <c r="K6" s="164" t="s">
        <v>3031</v>
      </c>
      <c r="L6" s="347" t="s">
        <v>1401</v>
      </c>
      <c r="M6" s="348">
        <f ca="1">INDIRECT("'数据-取费表'!z"&amp;$G$1)</f>
        <v>0</v>
      </c>
    </row>
    <row r="7" spans="1:37" ht="18" customHeight="1">
      <c r="A7" s="1298"/>
      <c r="B7" s="3239"/>
      <c r="C7" s="1300"/>
      <c r="D7" s="352"/>
      <c r="E7" s="1301" t="s">
        <v>1402</v>
      </c>
      <c r="F7" s="348">
        <f ca="1">IF(INDIRECT("'数据-取费表'!ah"&amp;$G$1)="",INDIRECT("'数据-取费表'!k"&amp;$G$1),INDIRECT("'数据-取费表'!ah"&amp;$G$1))</f>
        <v>20447.539999999997</v>
      </c>
      <c r="G7" s="1854"/>
      <c r="H7" s="349"/>
      <c r="I7" s="3239"/>
      <c r="J7" s="351"/>
      <c r="K7" s="352"/>
      <c r="L7" s="347" t="s">
        <v>1402</v>
      </c>
      <c r="M7" s="348">
        <f ca="1">F7</f>
        <v>20447.539999999997</v>
      </c>
    </row>
    <row r="8" spans="1:37" ht="18" customHeight="1">
      <c r="A8" s="349"/>
      <c r="B8" s="3239"/>
      <c r="C8" s="351"/>
      <c r="D8" s="352"/>
      <c r="E8" s="347" t="s">
        <v>1403</v>
      </c>
      <c r="F8" s="348">
        <f ca="1">INDIRECT("'数据-取费表'!ai"&amp;$G$1)</f>
        <v>365</v>
      </c>
      <c r="G8" s="1854"/>
      <c r="H8" s="349"/>
      <c r="I8" s="3239"/>
      <c r="J8" s="351"/>
      <c r="K8" s="352"/>
      <c r="L8" s="347" t="s">
        <v>1403</v>
      </c>
      <c r="M8" s="348">
        <f ca="1">INDIRECT("'数据-取费表'!ai"&amp;$G$1)</f>
        <v>365</v>
      </c>
    </row>
    <row r="9" spans="1:37" ht="18" customHeight="1">
      <c r="A9" s="349"/>
      <c r="B9" s="3240"/>
      <c r="C9" s="351"/>
      <c r="D9" s="352"/>
      <c r="E9" s="347" t="s">
        <v>1404</v>
      </c>
      <c r="F9" s="357">
        <f ca="1">INDIRECT("'数据-取费表'!w"&amp;$G$1)</f>
        <v>0.1</v>
      </c>
      <c r="G9" s="1854"/>
      <c r="H9" s="349"/>
      <c r="I9" s="32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7801</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5112</v>
      </c>
      <c r="D14" s="1803" t="s">
        <v>1414</v>
      </c>
      <c r="E14" s="1797"/>
      <c r="F14" s="364"/>
      <c r="G14" s="1854"/>
      <c r="H14" s="1204" t="s">
        <v>1032</v>
      </c>
      <c r="I14" s="347" t="s">
        <v>1415</v>
      </c>
      <c r="J14" s="24">
        <f ca="1">C29</f>
        <v>8042</v>
      </c>
      <c r="K14" s="15"/>
      <c r="L14" s="982"/>
      <c r="M14" s="983"/>
    </row>
    <row r="15" spans="1:37" s="1861" customFormat="1" ht="18" customHeight="1" thickBot="1">
      <c r="A15" s="1204" t="s">
        <v>1033</v>
      </c>
      <c r="B15" s="347" t="s">
        <v>1416</v>
      </c>
      <c r="C15" s="24">
        <f ca="1">ROUND(C14*F15,0)</f>
        <v>153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208</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87.7</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77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5710</v>
      </c>
      <c r="D19" s="140" t="s">
        <v>1432</v>
      </c>
      <c r="E19" s="1821"/>
      <c r="F19" s="26"/>
      <c r="G19" s="1854"/>
      <c r="H19" s="1204" t="s">
        <v>1033</v>
      </c>
      <c r="I19" s="347" t="s">
        <v>1433</v>
      </c>
      <c r="J19" s="24">
        <f ca="1">IF(K19="按租金收入计税",ROUND(J5*M19,2),ROUND(C29*M19*0.7,2))</f>
        <v>67.55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114</v>
      </c>
      <c r="D20" s="369" t="s">
        <v>1436</v>
      </c>
      <c r="E20" s="347" t="s">
        <v>1418</v>
      </c>
      <c r="F20" s="367">
        <f>'数据-取费表'!B37</f>
        <v>0.02</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120.6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420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-208</v>
      </c>
      <c r="K25" s="1348" t="s">
        <v>1460</v>
      </c>
      <c r="L25" s="1349"/>
      <c r="M25" s="1350"/>
    </row>
    <row r="26" spans="1:37">
      <c r="A26" s="1204" t="s">
        <v>1031</v>
      </c>
      <c r="B26" s="347" t="s">
        <v>1461</v>
      </c>
      <c r="C26" s="24">
        <f ca="1">ROUND((C19+C20)*F26,0)</f>
        <v>1165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8042</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413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253.3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71.73</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161.4</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120.6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26.9</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932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19550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9561</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-32218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19550</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8042</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5009</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6" t="s">
        <v>1544</v>
      </c>
      <c r="L53" s="3237"/>
      <c r="O53" s="1887" t="s">
        <v>1043</v>
      </c>
      <c r="P53" s="1888" t="s">
        <v>1545</v>
      </c>
      <c r="Q53" s="1889">
        <f ca="1">Q47+Q48</f>
        <v>19550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7801</v>
      </c>
      <c r="D56" s="1917"/>
      <c r="E56" s="1918"/>
      <c r="F56" s="1910"/>
      <c r="I56" s="1919" t="s">
        <v>1550</v>
      </c>
      <c r="J56" s="1920" t="s">
        <v>3287</v>
      </c>
      <c r="K56" s="1890" t="s">
        <v>1551</v>
      </c>
      <c r="L56" s="1893" t="str">
        <f ca="1">IF(L48&lt;J51,"——",L48-J53)</f>
        <v>——</v>
      </c>
      <c r="O56" s="1887" t="s">
        <v>1037</v>
      </c>
      <c r="P56" s="1888" t="s">
        <v>1524</v>
      </c>
      <c r="Q56" s="1889">
        <f ca="1">C40+J29</f>
        <v>19550</v>
      </c>
      <c r="R56" s="1889" t="s">
        <v>1525</v>
      </c>
    </row>
    <row r="57" spans="1:18" s="1845" customFormat="1" ht="24.75" thickBot="1">
      <c r="A57" s="1921"/>
      <c r="B57" s="1172" t="s">
        <v>1474</v>
      </c>
      <c r="C57" s="282">
        <f ca="1">C29</f>
        <v>8042</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828</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695.7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675.53</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19550</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120.6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11.7</v>
      </c>
      <c r="D65" s="1186" t="s">
        <v>1450</v>
      </c>
      <c r="E65" s="1172" t="s">
        <v>1451</v>
      </c>
      <c r="F65" s="376">
        <f t="shared" ca="1" si="0"/>
        <v>1.5E-3</v>
      </c>
      <c r="I65" s="1932" t="s">
        <v>1575</v>
      </c>
      <c r="J65" s="1933">
        <v>40</v>
      </c>
      <c r="K65" s="1933">
        <v>30</v>
      </c>
      <c r="L65" s="1933">
        <v>50</v>
      </c>
      <c r="M65" s="1935">
        <v>0.02</v>
      </c>
      <c r="O65" s="1887" t="s">
        <v>1037</v>
      </c>
      <c r="P65" s="1888" t="s">
        <v>1576</v>
      </c>
      <c r="Q65" s="1889">
        <f ca="1">C40+J29</f>
        <v>19550</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-828</v>
      </c>
      <c r="D67" s="1185" t="s">
        <v>1460</v>
      </c>
      <c r="E67" s="1190"/>
      <c r="F67" s="1191"/>
      <c r="O67" s="1897" t="s">
        <v>1039</v>
      </c>
      <c r="P67" s="1888" t="s">
        <v>1558</v>
      </c>
      <c r="Q67" s="1936">
        <f ca="1">L51</f>
        <v>5009</v>
      </c>
      <c r="R67" s="1889" t="s">
        <v>1578</v>
      </c>
    </row>
    <row r="68" spans="1:18" s="1845" customFormat="1" ht="16.5" thickBot="1">
      <c r="A68" s="1169" t="s">
        <v>1029</v>
      </c>
      <c r="B68" s="1170" t="s">
        <v>1481</v>
      </c>
      <c r="C68" s="346">
        <f ca="1">ROUND(C67*(1-((1+F70)/(1+F68))^F69)/(F68-F70),0)</f>
        <v>-12668</v>
      </c>
      <c r="D68" s="1187" t="s">
        <v>1465</v>
      </c>
      <c r="E68" s="1172" t="s">
        <v>1466</v>
      </c>
      <c r="F68" s="357">
        <f ca="1">F40</f>
        <v>5.5E-2</v>
      </c>
      <c r="O68" s="1897" t="s">
        <v>1040</v>
      </c>
      <c r="P68" s="1937" t="s">
        <v>1579</v>
      </c>
      <c r="Q68" s="1889">
        <f ca="1">ROUND(Q69-Q70*Q71,0)</f>
        <v>308</v>
      </c>
      <c r="R68" s="1889" t="s">
        <v>1048</v>
      </c>
    </row>
    <row r="69" spans="1:18" s="1845" customFormat="1" ht="13.5" thickBot="1">
      <c r="A69" s="1173"/>
      <c r="B69" s="1174"/>
      <c r="C69" s="351"/>
      <c r="D69" s="1192" t="s">
        <v>1469</v>
      </c>
      <c r="E69" s="1172" t="s">
        <v>1470</v>
      </c>
      <c r="F69" s="379">
        <f ca="1">F41</f>
        <v>34.4</v>
      </c>
      <c r="O69" s="1897" t="s">
        <v>1045</v>
      </c>
      <c r="P69" s="1937" t="s">
        <v>1580</v>
      </c>
      <c r="Q69" s="1889">
        <f ca="1">C39</f>
        <v>932</v>
      </c>
      <c r="R69" s="1889" t="s">
        <v>1525</v>
      </c>
    </row>
    <row r="70" spans="1:18" s="1845" customFormat="1" ht="13.5" thickBot="1">
      <c r="A70" s="1176"/>
      <c r="B70" s="1177"/>
      <c r="C70" s="355"/>
      <c r="D70" s="1188"/>
      <c r="E70" s="1172" t="s">
        <v>1473</v>
      </c>
      <c r="F70" s="1278"/>
      <c r="O70" s="1897" t="s">
        <v>1046</v>
      </c>
      <c r="P70" s="1937" t="s">
        <v>1581</v>
      </c>
      <c r="Q70" s="1889">
        <f ca="1">C13</f>
        <v>7801</v>
      </c>
      <c r="R70" s="1889" t="s">
        <v>1525</v>
      </c>
    </row>
    <row r="71" spans="1:18" s="1845" customFormat="1" ht="13.5" thickBot="1">
      <c r="A71" s="1193" t="s">
        <v>1030</v>
      </c>
      <c r="B71" s="1194" t="s">
        <v>1483</v>
      </c>
      <c r="C71" s="382">
        <f ca="1">ROUND(C68*10000/F71,0)</f>
        <v>-6195</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624</v>
      </c>
      <c r="D75" s="1845"/>
      <c r="E75" s="1845"/>
      <c r="F75" s="1845"/>
      <c r="K75" s="1871"/>
      <c r="L75" s="1845"/>
      <c r="O75" s="1887" t="s">
        <v>1043</v>
      </c>
      <c r="P75" s="1888" t="s">
        <v>1545</v>
      </c>
      <c r="Q75" s="1889">
        <f ca="1">Q65+Q66</f>
        <v>19550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0.32999999999999996</v>
      </c>
    </row>
    <row r="80" spans="1:18">
      <c r="B80" s="386" t="s">
        <v>1507</v>
      </c>
      <c r="C80" s="318">
        <f ca="1">ROUND(C75/C39,3)</f>
        <v>0.67</v>
      </c>
    </row>
    <row r="81" spans="2:3">
      <c r="B81" s="314" t="s">
        <v>1508</v>
      </c>
      <c r="C81" s="282"/>
    </row>
    <row r="82" spans="2:3">
      <c r="B82" s="317" t="s">
        <v>1509</v>
      </c>
      <c r="C82" s="319">
        <f ca="1">1-C83</f>
        <v>0.60099999999999998</v>
      </c>
    </row>
    <row r="83" spans="2:3">
      <c r="B83" s="317" t="s">
        <v>1510</v>
      </c>
      <c r="C83" s="318">
        <f ca="1">ROUND(C13/C40,3)</f>
        <v>0.39900000000000002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8" t="s">
        <v>1399</v>
      </c>
      <c r="C6" s="1299">
        <f ca="1">ROUND(F6*F8*F7*(1-F9),0)</f>
        <v>0</v>
      </c>
      <c r="D6" s="164" t="s">
        <v>3029</v>
      </c>
      <c r="E6" s="347" t="s">
        <v>1401</v>
      </c>
      <c r="F6" s="348">
        <f ca="1">INDIRECT("'数据-取费表'!u"&amp;$G$1)</f>
        <v>0</v>
      </c>
      <c r="G6" s="1854"/>
      <c r="H6" s="1294" t="s">
        <v>1032</v>
      </c>
      <c r="I6" s="3238" t="s">
        <v>1399</v>
      </c>
      <c r="J6" s="346">
        <f ca="1">ROUND(M6*M8*M7*(1-M9),0)</f>
        <v>0</v>
      </c>
      <c r="K6" s="1837" t="s">
        <v>3030</v>
      </c>
      <c r="L6" s="347" t="s">
        <v>1401</v>
      </c>
      <c r="M6" s="348">
        <f ca="1">INDIRECT("'数据-取费表'!z"&amp;$G$1)</f>
        <v>0</v>
      </c>
    </row>
    <row r="7" spans="1:37" ht="18" customHeight="1">
      <c r="A7" s="1298"/>
      <c r="B7" s="3239"/>
      <c r="C7" s="1300"/>
      <c r="D7" s="352"/>
      <c r="E7" s="1301" t="s">
        <v>1402</v>
      </c>
      <c r="F7" s="348">
        <f ca="1">IF(INDIRECT("'数据-取费表'!ah"&amp;$G$1)="",INDIRECT("'数据-取费表'!k"&amp;$G$1),INDIRECT("'数据-取费表'!ah"&amp;$G$1))</f>
        <v>0</v>
      </c>
      <c r="G7" s="1854"/>
      <c r="H7" s="349"/>
      <c r="I7" s="3239"/>
      <c r="J7" s="351"/>
      <c r="K7" s="352"/>
      <c r="L7" s="347" t="s">
        <v>1402</v>
      </c>
      <c r="M7" s="348">
        <f ca="1">F7</f>
        <v>0</v>
      </c>
    </row>
    <row r="8" spans="1:37" ht="18" customHeight="1">
      <c r="A8" s="349"/>
      <c r="B8" s="3239"/>
      <c r="C8" s="351"/>
      <c r="D8" s="352"/>
      <c r="E8" s="347" t="s">
        <v>1403</v>
      </c>
      <c r="F8" s="348">
        <f ca="1">INDIRECT("'数据-取费表'!ai"&amp;$G$1)</f>
        <v>0</v>
      </c>
      <c r="G8" s="1854"/>
      <c r="H8" s="349"/>
      <c r="I8" s="3239"/>
      <c r="J8" s="351"/>
      <c r="K8" s="352"/>
      <c r="L8" s="347" t="s">
        <v>1403</v>
      </c>
      <c r="M8" s="348">
        <f ca="1">INDIRECT("'数据-取费表'!ai"&amp;$G$1)</f>
        <v>0</v>
      </c>
    </row>
    <row r="9" spans="1:37" ht="18" customHeight="1">
      <c r="A9" s="349"/>
      <c r="B9" s="3240"/>
      <c r="C9" s="351"/>
      <c r="D9" s="352"/>
      <c r="E9" s="347" t="s">
        <v>1404</v>
      </c>
      <c r="F9" s="357">
        <f ca="1">INDIRECT("'数据-取费表'!w"&amp;$G$1)</f>
        <v>0</v>
      </c>
      <c r="G9" s="1854"/>
      <c r="H9" s="349"/>
      <c r="I9" s="32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6" t="s">
        <v>1544</v>
      </c>
      <c r="L53" s="323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57" t="s">
        <v>1073</v>
      </c>
      <c r="B1" s="3258"/>
      <c r="C1" s="3259"/>
      <c r="D1" s="3260">
        <f>SUM(I10,I15,I20,I21,I23)</f>
        <v>0</v>
      </c>
      <c r="E1" s="3260"/>
      <c r="F1" s="3260"/>
      <c r="G1" s="3260"/>
      <c r="H1" s="3260"/>
      <c r="I1" s="3261"/>
    </row>
    <row r="2" spans="1:9">
      <c r="A2" s="3247" t="s">
        <v>1074</v>
      </c>
      <c r="B2" s="3248" t="s">
        <v>1075</v>
      </c>
      <c r="C2" s="3248"/>
      <c r="D2" s="1304" t="s">
        <v>1076</v>
      </c>
      <c r="E2" s="1304" t="s">
        <v>1077</v>
      </c>
      <c r="F2" s="1304" t="s">
        <v>1078</v>
      </c>
      <c r="G2" s="1304" t="s">
        <v>1079</v>
      </c>
      <c r="H2" s="1304" t="s">
        <v>1080</v>
      </c>
      <c r="I2" s="1305" t="s">
        <v>1081</v>
      </c>
    </row>
    <row r="3" spans="1:9">
      <c r="A3" s="3247"/>
      <c r="B3" s="3248" t="s">
        <v>1082</v>
      </c>
      <c r="C3" s="3248"/>
      <c r="D3" s="1306"/>
      <c r="E3" s="1304"/>
      <c r="F3" s="1307"/>
      <c r="G3" s="1307"/>
      <c r="H3" s="1308"/>
      <c r="I3" s="1309">
        <f>ROUND(D3*E3*F3*G3*H3/10000,0)</f>
        <v>0</v>
      </c>
    </row>
    <row r="4" spans="1:9">
      <c r="A4" s="3247"/>
      <c r="B4" s="3248" t="s">
        <v>1083</v>
      </c>
      <c r="C4" s="3248"/>
      <c r="D4" s="1306"/>
      <c r="E4" s="1304"/>
      <c r="F4" s="1307"/>
      <c r="G4" s="1307"/>
      <c r="H4" s="1308"/>
      <c r="I4" s="1309">
        <f t="shared" ref="I4:I9" si="0">ROUND(D4*E4*F4*G4*H4/10000,0)</f>
        <v>0</v>
      </c>
    </row>
    <row r="5" spans="1:9">
      <c r="A5" s="3247"/>
      <c r="B5" s="3248" t="s">
        <v>1084</v>
      </c>
      <c r="C5" s="3248"/>
      <c r="D5" s="1306"/>
      <c r="E5" s="1304"/>
      <c r="F5" s="1307"/>
      <c r="G5" s="1307"/>
      <c r="H5" s="1308"/>
      <c r="I5" s="1309">
        <f t="shared" si="0"/>
        <v>0</v>
      </c>
    </row>
    <row r="6" spans="1:9">
      <c r="A6" s="3247"/>
      <c r="B6" s="3248" t="s">
        <v>1085</v>
      </c>
      <c r="C6" s="3248"/>
      <c r="D6" s="1306"/>
      <c r="E6" s="1304"/>
      <c r="F6" s="1307"/>
      <c r="G6" s="1307"/>
      <c r="H6" s="1308"/>
      <c r="I6" s="1309">
        <f t="shared" si="0"/>
        <v>0</v>
      </c>
    </row>
    <row r="7" spans="1:9">
      <c r="A7" s="3247"/>
      <c r="B7" s="3248" t="s">
        <v>1086</v>
      </c>
      <c r="C7" s="3248"/>
      <c r="D7" s="1306"/>
      <c r="E7" s="1304"/>
      <c r="F7" s="1307"/>
      <c r="G7" s="1307"/>
      <c r="H7" s="1308"/>
      <c r="I7" s="1309">
        <f t="shared" si="0"/>
        <v>0</v>
      </c>
    </row>
    <row r="8" spans="1:9">
      <c r="A8" s="3247"/>
      <c r="B8" s="3248" t="s">
        <v>1087</v>
      </c>
      <c r="C8" s="3248"/>
      <c r="D8" s="1306"/>
      <c r="E8" s="1304"/>
      <c r="F8" s="1307"/>
      <c r="G8" s="1307"/>
      <c r="H8" s="1308"/>
      <c r="I8" s="1309">
        <f t="shared" si="0"/>
        <v>0</v>
      </c>
    </row>
    <row r="9" spans="1:9">
      <c r="A9" s="3247"/>
      <c r="B9" s="3248" t="s">
        <v>1088</v>
      </c>
      <c r="C9" s="3248"/>
      <c r="D9" s="1306"/>
      <c r="E9" s="1304"/>
      <c r="F9" s="1307"/>
      <c r="G9" s="1307"/>
      <c r="H9" s="1308"/>
      <c r="I9" s="1309">
        <f t="shared" si="0"/>
        <v>0</v>
      </c>
    </row>
    <row r="10" spans="1:9">
      <c r="A10" s="3247"/>
      <c r="B10" s="3249" t="s">
        <v>1089</v>
      </c>
      <c r="C10" s="3249"/>
      <c r="D10" s="1310"/>
      <c r="E10" s="1310" t="e">
        <f>ROUND(D1*10000/D10/H9,0)</f>
        <v>#DIV/0!</v>
      </c>
      <c r="F10" s="1311"/>
      <c r="G10" s="1311"/>
      <c r="H10" s="1312"/>
      <c r="I10" s="1313">
        <f>SUM(I3:I9)</f>
        <v>0</v>
      </c>
    </row>
    <row r="11" spans="1:9" ht="14.25">
      <c r="A11" s="3247" t="s">
        <v>1090</v>
      </c>
      <c r="B11" s="3248" t="s">
        <v>1091</v>
      </c>
      <c r="C11" s="3248"/>
      <c r="D11" s="1306" t="s">
        <v>1092</v>
      </c>
      <c r="E11" s="1306" t="s">
        <v>1093</v>
      </c>
      <c r="F11" s="1307" t="s">
        <v>1094</v>
      </c>
      <c r="G11" s="1307" t="s">
        <v>1080</v>
      </c>
      <c r="H11" s="1314" t="s">
        <v>1095</v>
      </c>
      <c r="I11" s="1305" t="s">
        <v>1081</v>
      </c>
    </row>
    <row r="12" spans="1:9">
      <c r="A12" s="3247"/>
      <c r="B12" s="3248" t="s">
        <v>1096</v>
      </c>
      <c r="C12" s="3248"/>
      <c r="D12" s="1306"/>
      <c r="E12" s="1306"/>
      <c r="F12" s="1307"/>
      <c r="G12" s="1308"/>
      <c r="H12" s="1315"/>
      <c r="I12" s="1305">
        <f>ROUND(D12*E12*F12*G12/10000,0)</f>
        <v>0</v>
      </c>
    </row>
    <row r="13" spans="1:9">
      <c r="A13" s="3247"/>
      <c r="B13" s="3248" t="s">
        <v>1097</v>
      </c>
      <c r="C13" s="3248"/>
      <c r="D13" s="1306"/>
      <c r="E13" s="1306"/>
      <c r="F13" s="1307"/>
      <c r="G13" s="1308"/>
      <c r="H13" s="1315"/>
      <c r="I13" s="1305">
        <f>ROUND(D13*E13*F13*G13/10000,0)</f>
        <v>0</v>
      </c>
    </row>
    <row r="14" spans="1:9">
      <c r="A14" s="3247"/>
      <c r="B14" s="3248" t="s">
        <v>1098</v>
      </c>
      <c r="C14" s="3248"/>
      <c r="D14" s="1306"/>
      <c r="E14" s="1306"/>
      <c r="F14" s="1307"/>
      <c r="G14" s="1308"/>
      <c r="H14" s="1315"/>
      <c r="I14" s="1305">
        <f>ROUND(D14*E14*F14*G14/10000,0)</f>
        <v>0</v>
      </c>
    </row>
    <row r="15" spans="1:9">
      <c r="A15" s="3247"/>
      <c r="B15" s="3249" t="s">
        <v>1089</v>
      </c>
      <c r="C15" s="3249"/>
      <c r="D15" s="1310"/>
      <c r="E15" s="1310">
        <f>SUM(E12:E14)</f>
        <v>0</v>
      </c>
      <c r="F15" s="1311"/>
      <c r="G15" s="1308"/>
      <c r="H15" s="1315"/>
      <c r="I15" s="1316">
        <f>SUM(I12:I14)</f>
        <v>0</v>
      </c>
    </row>
    <row r="16" spans="1:9" ht="24">
      <c r="A16" s="3247" t="s">
        <v>1099</v>
      </c>
      <c r="B16" s="3248" t="s">
        <v>1100</v>
      </c>
      <c r="C16" s="3248"/>
      <c r="D16" s="1306" t="s">
        <v>1076</v>
      </c>
      <c r="E16" s="1317" t="s">
        <v>1101</v>
      </c>
      <c r="F16" s="1307" t="s">
        <v>1102</v>
      </c>
      <c r="G16" s="1308" t="s">
        <v>1080</v>
      </c>
      <c r="H16" s="1314" t="s">
        <v>1095</v>
      </c>
      <c r="I16" s="1305" t="s">
        <v>1081</v>
      </c>
    </row>
    <row r="17" spans="1:9" ht="14.25">
      <c r="A17" s="3247"/>
      <c r="B17" s="3248" t="s">
        <v>1103</v>
      </c>
      <c r="C17" s="3248"/>
      <c r="D17" s="1306"/>
      <c r="E17" s="1306"/>
      <c r="F17" s="1307"/>
      <c r="G17" s="1308"/>
      <c r="H17" s="1318"/>
      <c r="I17" s="1319">
        <f>ROUND(D17*E17*F17*G17/10000,0)</f>
        <v>0</v>
      </c>
    </row>
    <row r="18" spans="1:9" ht="14.25">
      <c r="A18" s="3247"/>
      <c r="B18" s="3248" t="s">
        <v>1104</v>
      </c>
      <c r="C18" s="3248"/>
      <c r="D18" s="1306"/>
      <c r="E18" s="1306"/>
      <c r="F18" s="1307"/>
      <c r="G18" s="1308"/>
      <c r="H18" s="1318"/>
      <c r="I18" s="1319">
        <f>ROUND(D18*E18*F18*G18/10000,0)</f>
        <v>0</v>
      </c>
    </row>
    <row r="19" spans="1:9" ht="14.25">
      <c r="A19" s="3247"/>
      <c r="B19" s="3248" t="s">
        <v>1105</v>
      </c>
      <c r="C19" s="3248"/>
      <c r="D19" s="1306"/>
      <c r="E19" s="1306"/>
      <c r="F19" s="1307"/>
      <c r="G19" s="1308"/>
      <c r="H19" s="1318"/>
      <c r="I19" s="1319">
        <f>ROUND(D19*E19*F19*G19/10000,0)</f>
        <v>0</v>
      </c>
    </row>
    <row r="20" spans="1:9">
      <c r="A20" s="3247"/>
      <c r="B20" s="3249" t="s">
        <v>1089</v>
      </c>
      <c r="C20" s="3249"/>
      <c r="D20" s="1310">
        <f>SUM(D17:D19)</f>
        <v>0</v>
      </c>
      <c r="E20" s="1310"/>
      <c r="F20" s="1311"/>
      <c r="G20" s="1308"/>
      <c r="H20" s="1315"/>
      <c r="I20" s="1316">
        <f>SUM(I17:I19)</f>
        <v>0</v>
      </c>
    </row>
    <row r="21" spans="1:9">
      <c r="A21" s="3247" t="s">
        <v>1106</v>
      </c>
      <c r="B21" s="3250"/>
      <c r="C21" s="3250"/>
      <c r="D21" s="3250"/>
      <c r="E21" s="3250"/>
      <c r="F21" s="3250"/>
      <c r="G21" s="3250"/>
      <c r="H21" s="1768">
        <v>0.1</v>
      </c>
      <c r="I21" s="1313">
        <f>ROUND(I10*H21,0)</f>
        <v>0</v>
      </c>
    </row>
    <row r="22" spans="1:9" ht="14.25">
      <c r="A22" s="3251" t="s">
        <v>1107</v>
      </c>
      <c r="B22" s="3252"/>
      <c r="C22" s="3253"/>
      <c r="D22" s="1320" t="s">
        <v>1108</v>
      </c>
      <c r="E22" s="1320" t="s">
        <v>1109</v>
      </c>
      <c r="F22" s="1321" t="s">
        <v>1110</v>
      </c>
      <c r="G22" s="1321" t="s">
        <v>1111</v>
      </c>
      <c r="H22" s="1314" t="s">
        <v>1112</v>
      </c>
      <c r="I22" s="1305" t="s">
        <v>1113</v>
      </c>
    </row>
    <row r="23" spans="1:9" ht="14.25" thickBot="1">
      <c r="A23" s="3254"/>
      <c r="B23" s="3255"/>
      <c r="C23" s="3256"/>
      <c r="D23" s="1322"/>
      <c r="E23" s="1322"/>
      <c r="F23" s="1322"/>
      <c r="G23" s="1323"/>
      <c r="H23" s="1324"/>
      <c r="I23" s="1325">
        <f>ROUND(E23*D23*F23*(1-G23)/10000,0)</f>
        <v>0</v>
      </c>
    </row>
    <row r="26" spans="1:9">
      <c r="A26" s="1326" t="s">
        <v>1114</v>
      </c>
      <c r="B26" s="1326"/>
      <c r="C26" s="1326"/>
      <c r="D26" s="1326"/>
      <c r="E26" s="3244">
        <f>C27-C30-C31-C32</f>
        <v>0</v>
      </c>
      <c r="F26" s="3244"/>
      <c r="G26" s="3244"/>
      <c r="H26" s="1740" t="s">
        <v>1336</v>
      </c>
    </row>
    <row r="27" spans="1:9">
      <c r="A27" s="1327">
        <v>1</v>
      </c>
      <c r="B27" s="1328" t="s">
        <v>1115</v>
      </c>
      <c r="C27" s="1328">
        <f>C28+C29</f>
        <v>0</v>
      </c>
      <c r="D27" s="1328"/>
      <c r="E27" s="3245"/>
      <c r="F27" s="3245"/>
      <c r="G27" s="3245"/>
    </row>
    <row r="28" spans="1:9">
      <c r="A28" s="1329" t="s">
        <v>1116</v>
      </c>
      <c r="B28" s="1328" t="s">
        <v>1117</v>
      </c>
      <c r="C28" s="1328"/>
      <c r="D28" s="1328"/>
      <c r="E28" s="3245"/>
      <c r="F28" s="3245"/>
      <c r="G28" s="324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46"/>
      <c r="F32" s="3246"/>
      <c r="G32" s="3246"/>
    </row>
    <row r="33" spans="1:7" hidden="1">
      <c r="A33" s="3241" t="s">
        <v>1126</v>
      </c>
      <c r="B33" s="3242"/>
      <c r="C33" s="3242"/>
      <c r="D33" s="3243"/>
      <c r="E33" s="3244"/>
      <c r="F33" s="3244"/>
      <c r="G33" s="3244"/>
    </row>
    <row r="34" spans="1:7" hidden="1">
      <c r="A34" s="1331">
        <v>1</v>
      </c>
      <c r="B34" s="1328" t="s">
        <v>1127</v>
      </c>
      <c r="C34" s="1328"/>
      <c r="D34" s="1328"/>
      <c r="E34" s="3245"/>
      <c r="F34" s="3245"/>
      <c r="G34" s="3245"/>
    </row>
    <row r="35" spans="1:7" hidden="1">
      <c r="A35" s="1331">
        <v>2</v>
      </c>
      <c r="B35" s="1328" t="s">
        <v>1128</v>
      </c>
      <c r="C35" s="1328"/>
      <c r="D35" s="1328"/>
      <c r="E35" s="3245"/>
      <c r="F35" s="3245"/>
      <c r="G35" s="3245"/>
    </row>
    <row r="36" spans="1:7" hidden="1">
      <c r="A36" s="1331">
        <v>3</v>
      </c>
      <c r="B36" s="1328" t="s">
        <v>1129</v>
      </c>
      <c r="C36" s="1328"/>
      <c r="D36" s="1328"/>
      <c r="E36" s="3245"/>
      <c r="F36" s="3245"/>
      <c r="G36" s="3245"/>
    </row>
    <row r="37" spans="1:7" hidden="1">
      <c r="A37" s="1331">
        <v>4</v>
      </c>
      <c r="B37" s="1328" t="s">
        <v>1130</v>
      </c>
      <c r="C37" s="1328"/>
      <c r="D37" s="1328"/>
      <c r="E37" s="3245"/>
      <c r="F37" s="3245"/>
      <c r="G37" s="3245"/>
    </row>
    <row r="38" spans="1:7" hidden="1">
      <c r="A38" s="3241" t="s">
        <v>1131</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0" t="s">
        <v>2535</v>
      </c>
      <c r="D4" s="3281"/>
      <c r="E4" s="3282" t="s">
        <v>2536</v>
      </c>
      <c r="F4" s="3283"/>
      <c r="G4" s="3280" t="s">
        <v>2537</v>
      </c>
      <c r="H4" s="3281"/>
      <c r="I4" s="3280" t="s">
        <v>2538</v>
      </c>
      <c r="J4" s="3281"/>
      <c r="K4" s="2601" t="s">
        <v>2539</v>
      </c>
      <c r="L4" s="1133"/>
      <c r="M4" s="1134"/>
      <c r="N4" s="1134"/>
      <c r="O4" s="1134"/>
      <c r="P4" s="3284" t="s">
        <v>2540</v>
      </c>
      <c r="Q4" s="3285"/>
      <c r="R4" s="3290" t="s">
        <v>2536</v>
      </c>
      <c r="S4" s="3291"/>
      <c r="T4" s="3290" t="s">
        <v>2537</v>
      </c>
      <c r="U4" s="3291"/>
      <c r="V4" s="3296" t="s">
        <v>2538</v>
      </c>
      <c r="W4" s="3296"/>
      <c r="X4" s="1816"/>
      <c r="Y4" s="3290" t="s">
        <v>2540</v>
      </c>
      <c r="Z4" s="3291"/>
      <c r="AA4" s="3277" t="s">
        <v>2536</v>
      </c>
      <c r="AB4" s="3277" t="s">
        <v>2537</v>
      </c>
      <c r="AC4" s="3277" t="s">
        <v>2538</v>
      </c>
    </row>
    <row r="5" spans="1:29" ht="15">
      <c r="A5" s="404"/>
      <c r="B5" s="405"/>
      <c r="C5" s="3299" t="s">
        <v>2541</v>
      </c>
      <c r="D5" s="3300"/>
      <c r="E5" s="3306" t="s">
        <v>2542</v>
      </c>
      <c r="F5" s="3307"/>
      <c r="G5" s="3299" t="s">
        <v>2543</v>
      </c>
      <c r="H5" s="3300"/>
      <c r="I5" s="3299" t="s">
        <v>2544</v>
      </c>
      <c r="J5" s="3300"/>
      <c r="K5" s="2602"/>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2602"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301" t="s">
        <v>2548</v>
      </c>
      <c r="Q7" s="3303"/>
      <c r="R7" s="770" t="s">
        <v>23</v>
      </c>
      <c r="S7" s="771">
        <f t="shared" ref="S7:S15" si="0">F7</f>
        <v>0</v>
      </c>
      <c r="T7" s="770" t="s">
        <v>23</v>
      </c>
      <c r="U7" s="771">
        <f t="shared" ref="U7:U15" si="1">H7</f>
        <v>0</v>
      </c>
      <c r="V7" s="770" t="s">
        <v>23</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301" t="s">
        <v>2551</v>
      </c>
      <c r="Q8" s="3302"/>
      <c r="R8" s="770" t="s">
        <v>23</v>
      </c>
      <c r="S8" s="771">
        <f t="shared" si="0"/>
        <v>0</v>
      </c>
      <c r="T8" s="770" t="s">
        <v>23</v>
      </c>
      <c r="U8" s="771">
        <f t="shared" si="1"/>
        <v>0</v>
      </c>
      <c r="V8" s="770" t="s">
        <v>23</v>
      </c>
      <c r="W8" s="771">
        <f t="shared" si="2"/>
        <v>0</v>
      </c>
      <c r="X8" s="772"/>
      <c r="Y8" s="3301" t="s">
        <v>2551</v>
      </c>
      <c r="Z8" s="330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76"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6"/>
      <c r="Q11" s="1798" t="str">
        <f t="shared" si="6"/>
        <v>容积率</v>
      </c>
      <c r="R11" s="770" t="s">
        <v>21</v>
      </c>
      <c r="S11" s="771" t="e">
        <f t="shared" si="0"/>
        <v>#N/A</v>
      </c>
      <c r="T11" s="770" t="s">
        <v>21</v>
      </c>
      <c r="U11" s="771" t="e">
        <f t="shared" si="1"/>
        <v>#N/A</v>
      </c>
      <c r="V11" s="770" t="s">
        <v>21</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76"/>
      <c r="Q12" s="1798">
        <f t="shared" si="6"/>
        <v>111</v>
      </c>
      <c r="R12" s="770" t="s">
        <v>21</v>
      </c>
      <c r="S12" s="771">
        <f t="shared" si="0"/>
        <v>100</v>
      </c>
      <c r="T12" s="770" t="s">
        <v>21</v>
      </c>
      <c r="U12" s="771">
        <f t="shared" si="1"/>
        <v>100</v>
      </c>
      <c r="V12" s="770" t="s">
        <v>21</v>
      </c>
      <c r="W12" s="771">
        <f t="shared" si="2"/>
        <v>100</v>
      </c>
      <c r="X12" s="772"/>
      <c r="Y12" s="307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76"/>
      <c r="Q13" s="1798">
        <f t="shared" si="6"/>
        <v>111</v>
      </c>
      <c r="R13" s="770" t="s">
        <v>21</v>
      </c>
      <c r="S13" s="771">
        <f t="shared" si="0"/>
        <v>100</v>
      </c>
      <c r="T13" s="770" t="s">
        <v>21</v>
      </c>
      <c r="U13" s="771">
        <f t="shared" si="1"/>
        <v>100</v>
      </c>
      <c r="V13" s="770" t="s">
        <v>21</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76"/>
      <c r="Q14" s="1798">
        <f t="shared" si="6"/>
        <v>111</v>
      </c>
      <c r="R14" s="770" t="s">
        <v>21</v>
      </c>
      <c r="S14" s="771">
        <f t="shared" si="0"/>
        <v>100</v>
      </c>
      <c r="T14" s="770" t="s">
        <v>21</v>
      </c>
      <c r="U14" s="771">
        <f t="shared" si="1"/>
        <v>100</v>
      </c>
      <c r="V14" s="770" t="s">
        <v>21</v>
      </c>
      <c r="W14" s="771">
        <f t="shared" si="2"/>
        <v>100</v>
      </c>
      <c r="X14" s="772"/>
      <c r="Y14" s="3079"/>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4" t="s">
        <v>2559</v>
      </c>
      <c r="Q15" s="1813" t="str">
        <f t="shared" si="6"/>
        <v>居住社区成熟度</v>
      </c>
      <c r="R15" s="774" t="s">
        <v>21</v>
      </c>
      <c r="S15" s="775">
        <f t="shared" si="0"/>
        <v>100</v>
      </c>
      <c r="T15" s="774" t="s">
        <v>21</v>
      </c>
      <c r="U15" s="775">
        <f t="shared" si="1"/>
        <v>100</v>
      </c>
      <c r="V15" s="774" t="s">
        <v>21</v>
      </c>
      <c r="W15" s="775">
        <f t="shared" si="2"/>
        <v>100</v>
      </c>
      <c r="X15" s="1816"/>
      <c r="Y15" s="3267"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75"/>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5"/>
      <c r="Q17" s="1813" t="str">
        <f>B17</f>
        <v>交通便捷度</v>
      </c>
      <c r="R17" s="774" t="s">
        <v>21</v>
      </c>
      <c r="S17" s="775">
        <f>F17</f>
        <v>100</v>
      </c>
      <c r="T17" s="774" t="s">
        <v>21</v>
      </c>
      <c r="U17" s="775">
        <f>H17</f>
        <v>100</v>
      </c>
      <c r="V17" s="774" t="s">
        <v>21</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75"/>
      <c r="Q18" s="1813"/>
      <c r="R18" s="774"/>
      <c r="S18" s="775"/>
      <c r="T18" s="774"/>
      <c r="U18" s="775"/>
      <c r="V18" s="774"/>
      <c r="W18" s="775"/>
      <c r="X18" s="1816"/>
      <c r="Y18" s="3268"/>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5"/>
      <c r="Q19" s="1813" t="str">
        <f>B19</f>
        <v>公共配套设施</v>
      </c>
      <c r="R19" s="774" t="s">
        <v>21</v>
      </c>
      <c r="S19" s="775">
        <f>F19</f>
        <v>100</v>
      </c>
      <c r="T19" s="774" t="s">
        <v>21</v>
      </c>
      <c r="U19" s="775">
        <f>H19</f>
        <v>100</v>
      </c>
      <c r="V19" s="774" t="s">
        <v>21</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75"/>
      <c r="Q20" s="1813"/>
      <c r="R20" s="774"/>
      <c r="S20" s="775"/>
      <c r="T20" s="774"/>
      <c r="U20" s="775"/>
      <c r="V20" s="774"/>
      <c r="W20" s="775"/>
      <c r="X20" s="1816"/>
      <c r="Y20" s="3268"/>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75"/>
      <c r="Q22" s="1813"/>
      <c r="R22" s="774"/>
      <c r="S22" s="775"/>
      <c r="T22" s="774"/>
      <c r="U22" s="775"/>
      <c r="V22" s="774"/>
      <c r="W22" s="775"/>
      <c r="X22" s="1816"/>
      <c r="Y22" s="3268"/>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5"/>
      <c r="Q23" s="1813" t="str">
        <f>B23</f>
        <v>自然及人文环境</v>
      </c>
      <c r="R23" s="774" t="s">
        <v>21</v>
      </c>
      <c r="S23" s="775">
        <f>F23</f>
        <v>100</v>
      </c>
      <c r="T23" s="774" t="s">
        <v>21</v>
      </c>
      <c r="U23" s="775">
        <f>H23</f>
        <v>100</v>
      </c>
      <c r="V23" s="774" t="s">
        <v>21</v>
      </c>
      <c r="W23" s="775">
        <f>J23</f>
        <v>100</v>
      </c>
      <c r="X23" s="1816"/>
      <c r="Y23" s="3268"/>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75"/>
      <c r="Q24" s="1813"/>
      <c r="R24" s="774"/>
      <c r="S24" s="775"/>
      <c r="T24" s="774"/>
      <c r="U24" s="775"/>
      <c r="V24" s="774"/>
      <c r="W24" s="775"/>
      <c r="X24" s="1816"/>
      <c r="Y24" s="3268"/>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7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8"/>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75"/>
      <c r="Q26" s="1813" t="str">
        <f t="shared" si="11"/>
        <v>朝向</v>
      </c>
      <c r="R26" s="774" t="s">
        <v>21</v>
      </c>
      <c r="S26" s="775">
        <f t="shared" si="12"/>
        <v>100</v>
      </c>
      <c r="T26" s="774" t="s">
        <v>21</v>
      </c>
      <c r="U26" s="775">
        <f t="shared" si="13"/>
        <v>100</v>
      </c>
      <c r="V26" s="774" t="s">
        <v>21</v>
      </c>
      <c r="W26" s="775">
        <f t="shared" si="14"/>
        <v>100</v>
      </c>
      <c r="X26" s="1816"/>
      <c r="Y26" s="326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75"/>
      <c r="Q27" s="1798">
        <f t="shared" si="11"/>
        <v>111</v>
      </c>
      <c r="R27" s="770" t="s">
        <v>21</v>
      </c>
      <c r="S27" s="771">
        <f t="shared" si="12"/>
        <v>100</v>
      </c>
      <c r="T27" s="770" t="s">
        <v>21</v>
      </c>
      <c r="U27" s="771">
        <f t="shared" si="13"/>
        <v>100</v>
      </c>
      <c r="V27" s="770" t="s">
        <v>21</v>
      </c>
      <c r="W27" s="771">
        <f t="shared" si="14"/>
        <v>100</v>
      </c>
      <c r="X27" s="772"/>
      <c r="Y27" s="326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75"/>
      <c r="Q28" s="1813">
        <f t="shared" si="11"/>
        <v>111</v>
      </c>
      <c r="R28" s="774" t="s">
        <v>21</v>
      </c>
      <c r="S28" s="775">
        <f t="shared" si="12"/>
        <v>100</v>
      </c>
      <c r="T28" s="774" t="s">
        <v>21</v>
      </c>
      <c r="U28" s="775">
        <f t="shared" si="13"/>
        <v>100</v>
      </c>
      <c r="V28" s="774" t="s">
        <v>21</v>
      </c>
      <c r="W28" s="775">
        <f t="shared" si="14"/>
        <v>100</v>
      </c>
      <c r="X28" s="1816"/>
      <c r="Y28" s="32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75"/>
      <c r="Q29" s="1813">
        <f t="shared" si="11"/>
        <v>111</v>
      </c>
      <c r="R29" s="774" t="s">
        <v>21</v>
      </c>
      <c r="S29" s="775">
        <f t="shared" si="12"/>
        <v>100</v>
      </c>
      <c r="T29" s="774" t="s">
        <v>21</v>
      </c>
      <c r="U29" s="775">
        <f t="shared" si="13"/>
        <v>100</v>
      </c>
      <c r="V29" s="774" t="s">
        <v>21</v>
      </c>
      <c r="W29" s="775">
        <f t="shared" si="14"/>
        <v>100</v>
      </c>
      <c r="X29" s="1816"/>
      <c r="Y29" s="32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75"/>
      <c r="Q30" s="1813">
        <f t="shared" si="11"/>
        <v>111</v>
      </c>
      <c r="R30" s="774" t="s">
        <v>21</v>
      </c>
      <c r="S30" s="775">
        <f t="shared" si="12"/>
        <v>100</v>
      </c>
      <c r="T30" s="774" t="s">
        <v>21</v>
      </c>
      <c r="U30" s="775">
        <f t="shared" si="13"/>
        <v>100</v>
      </c>
      <c r="V30" s="774" t="s">
        <v>21</v>
      </c>
      <c r="W30" s="775">
        <f t="shared" si="14"/>
        <v>100</v>
      </c>
      <c r="X30" s="1816"/>
      <c r="Y30" s="32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75"/>
      <c r="Q31" s="1813">
        <f t="shared" si="11"/>
        <v>111</v>
      </c>
      <c r="R31" s="774" t="s">
        <v>21</v>
      </c>
      <c r="S31" s="775">
        <f t="shared" si="12"/>
        <v>100</v>
      </c>
      <c r="T31" s="774" t="s">
        <v>21</v>
      </c>
      <c r="U31" s="775">
        <f t="shared" si="13"/>
        <v>100</v>
      </c>
      <c r="V31" s="774" t="s">
        <v>21</v>
      </c>
      <c r="W31" s="775">
        <f t="shared" si="14"/>
        <v>100</v>
      </c>
      <c r="X31" s="1816"/>
      <c r="Y31" s="3268"/>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69" t="s">
        <v>2564</v>
      </c>
      <c r="Q32" s="1813" t="str">
        <f t="shared" si="11"/>
        <v>建筑类型</v>
      </c>
      <c r="R32" s="774" t="s">
        <v>21</v>
      </c>
      <c r="S32" s="775">
        <f t="shared" si="12"/>
        <v>100</v>
      </c>
      <c r="T32" s="774" t="s">
        <v>21</v>
      </c>
      <c r="U32" s="775">
        <f t="shared" si="13"/>
        <v>100</v>
      </c>
      <c r="V32" s="774" t="s">
        <v>21</v>
      </c>
      <c r="W32" s="775">
        <f t="shared" si="14"/>
        <v>100</v>
      </c>
      <c r="X32" s="1816"/>
      <c r="Y32" s="3272"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70"/>
      <c r="Q33" s="776" t="str">
        <f t="shared" si="11"/>
        <v>项目建筑规模</v>
      </c>
      <c r="R33" s="777" t="s">
        <v>21</v>
      </c>
      <c r="S33" s="778" t="e">
        <f t="shared" si="12"/>
        <v>#N/A</v>
      </c>
      <c r="T33" s="777" t="s">
        <v>21</v>
      </c>
      <c r="U33" s="778" t="e">
        <f t="shared" si="13"/>
        <v>#N/A</v>
      </c>
      <c r="V33" s="777" t="s">
        <v>21</v>
      </c>
      <c r="W33" s="778" t="e">
        <f t="shared" si="14"/>
        <v>#N/A</v>
      </c>
      <c r="X33" s="779"/>
      <c r="Y33" s="3272"/>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0"/>
      <c r="Q34" s="1813" t="str">
        <f t="shared" si="11"/>
        <v>建筑结构</v>
      </c>
      <c r="R34" s="774" t="s">
        <v>21</v>
      </c>
      <c r="S34" s="775">
        <f t="shared" si="12"/>
        <v>100</v>
      </c>
      <c r="T34" s="774" t="s">
        <v>21</v>
      </c>
      <c r="U34" s="775">
        <f t="shared" si="13"/>
        <v>100</v>
      </c>
      <c r="V34" s="774" t="s">
        <v>21</v>
      </c>
      <c r="W34" s="775">
        <f t="shared" si="14"/>
        <v>100</v>
      </c>
      <c r="X34" s="1816"/>
      <c r="Y34" s="3272"/>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0"/>
      <c r="Q35" s="1813" t="str">
        <f t="shared" si="11"/>
        <v>建筑品质</v>
      </c>
      <c r="R35" s="774" t="s">
        <v>21</v>
      </c>
      <c r="S35" s="775">
        <f t="shared" si="12"/>
        <v>100</v>
      </c>
      <c r="T35" s="774" t="s">
        <v>21</v>
      </c>
      <c r="U35" s="775">
        <f t="shared" si="13"/>
        <v>100</v>
      </c>
      <c r="V35" s="774" t="s">
        <v>21</v>
      </c>
      <c r="W35" s="775">
        <f t="shared" si="14"/>
        <v>100</v>
      </c>
      <c r="X35" s="1816"/>
      <c r="Y35" s="3272"/>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0"/>
      <c r="Q36" s="1813" t="str">
        <f t="shared" si="11"/>
        <v>公共部分装修</v>
      </c>
      <c r="R36" s="774" t="s">
        <v>21</v>
      </c>
      <c r="S36" s="775">
        <f t="shared" si="12"/>
        <v>100</v>
      </c>
      <c r="T36" s="774" t="s">
        <v>21</v>
      </c>
      <c r="U36" s="775">
        <f t="shared" si="13"/>
        <v>100</v>
      </c>
      <c r="V36" s="774" t="s">
        <v>21</v>
      </c>
      <c r="W36" s="775">
        <f t="shared" si="14"/>
        <v>100</v>
      </c>
      <c r="X36" s="1816"/>
      <c r="Y36" s="3272"/>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0"/>
      <c r="Q37" s="1798" t="str">
        <f t="shared" si="11"/>
        <v>成新度</v>
      </c>
      <c r="R37" s="770" t="s">
        <v>21</v>
      </c>
      <c r="S37" s="771" t="e">
        <f t="shared" si="12"/>
        <v>#N/A</v>
      </c>
      <c r="T37" s="770" t="s">
        <v>21</v>
      </c>
      <c r="U37" s="771" t="e">
        <f t="shared" si="13"/>
        <v>#N/A</v>
      </c>
      <c r="V37" s="770" t="s">
        <v>21</v>
      </c>
      <c r="W37" s="771" t="e">
        <f t="shared" si="14"/>
        <v>#N/A</v>
      </c>
      <c r="X37" s="772"/>
      <c r="Y37" s="3272"/>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0" t="s">
        <v>2564</v>
      </c>
      <c r="Q38" s="1813" t="str">
        <f t="shared" si="11"/>
        <v>物业管理</v>
      </c>
      <c r="R38" s="774" t="s">
        <v>21</v>
      </c>
      <c r="S38" s="775">
        <f t="shared" si="12"/>
        <v>100</v>
      </c>
      <c r="T38" s="774" t="s">
        <v>21</v>
      </c>
      <c r="U38" s="775">
        <f t="shared" si="13"/>
        <v>100</v>
      </c>
      <c r="V38" s="774" t="s">
        <v>21</v>
      </c>
      <c r="W38" s="775">
        <f t="shared" si="14"/>
        <v>100</v>
      </c>
      <c r="X38" s="1816"/>
      <c r="Y38" s="3272"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0"/>
      <c r="Q39" s="1813" t="str">
        <f t="shared" si="11"/>
        <v>市政基础设施</v>
      </c>
      <c r="R39" s="774" t="s">
        <v>21</v>
      </c>
      <c r="S39" s="775">
        <f t="shared" si="12"/>
        <v>100</v>
      </c>
      <c r="T39" s="774" t="s">
        <v>21</v>
      </c>
      <c r="U39" s="775">
        <f t="shared" si="13"/>
        <v>100</v>
      </c>
      <c r="V39" s="774" t="s">
        <v>21</v>
      </c>
      <c r="W39" s="775">
        <f t="shared" si="14"/>
        <v>100</v>
      </c>
      <c r="X39" s="1816"/>
      <c r="Y39" s="3272"/>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0"/>
      <c r="Q40" s="1813" t="str">
        <f t="shared" si="11"/>
        <v>房型</v>
      </c>
      <c r="R40" s="774" t="s">
        <v>21</v>
      </c>
      <c r="S40" s="775">
        <f t="shared" si="12"/>
        <v>100</v>
      </c>
      <c r="T40" s="774" t="s">
        <v>21</v>
      </c>
      <c r="U40" s="775">
        <f t="shared" si="13"/>
        <v>100</v>
      </c>
      <c r="V40" s="774" t="s">
        <v>21</v>
      </c>
      <c r="W40" s="775">
        <f t="shared" si="14"/>
        <v>100</v>
      </c>
      <c r="X40" s="1816"/>
      <c r="Y40" s="3272"/>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70"/>
      <c r="Q41" s="776" t="str">
        <f t="shared" si="11"/>
        <v>单套/主力户型建筑面积</v>
      </c>
      <c r="R41" s="777" t="s">
        <v>21</v>
      </c>
      <c r="S41" s="778">
        <f t="shared" si="12"/>
        <v>100</v>
      </c>
      <c r="T41" s="777" t="s">
        <v>21</v>
      </c>
      <c r="U41" s="778">
        <f t="shared" si="13"/>
        <v>100</v>
      </c>
      <c r="V41" s="777" t="s">
        <v>21</v>
      </c>
      <c r="W41" s="778">
        <f t="shared" si="14"/>
        <v>100</v>
      </c>
      <c r="X41" s="779"/>
      <c r="Y41" s="3272"/>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0"/>
      <c r="Q42" s="1813" t="str">
        <f t="shared" si="11"/>
        <v>内部装修</v>
      </c>
      <c r="R42" s="774" t="s">
        <v>21</v>
      </c>
      <c r="S42" s="775">
        <f t="shared" si="12"/>
        <v>100</v>
      </c>
      <c r="T42" s="774" t="s">
        <v>21</v>
      </c>
      <c r="U42" s="775">
        <f t="shared" si="13"/>
        <v>100</v>
      </c>
      <c r="V42" s="774" t="s">
        <v>21</v>
      </c>
      <c r="W42" s="775">
        <f t="shared" si="14"/>
        <v>100</v>
      </c>
      <c r="X42" s="1816"/>
      <c r="Y42" s="3272"/>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0"/>
      <c r="Q43" s="1813" t="str">
        <f t="shared" si="11"/>
        <v>内部装修维护情况</v>
      </c>
      <c r="R43" s="774" t="s">
        <v>21</v>
      </c>
      <c r="S43" s="775">
        <f t="shared" si="12"/>
        <v>100</v>
      </c>
      <c r="T43" s="774" t="s">
        <v>21</v>
      </c>
      <c r="U43" s="775">
        <f t="shared" si="13"/>
        <v>100</v>
      </c>
      <c r="V43" s="774" t="s">
        <v>21</v>
      </c>
      <c r="W43" s="775">
        <f t="shared" si="14"/>
        <v>100</v>
      </c>
      <c r="X43" s="1816"/>
      <c r="Y43" s="32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70"/>
      <c r="Q44" s="1798">
        <f t="shared" si="11"/>
        <v>111</v>
      </c>
      <c r="R44" s="770" t="s">
        <v>21</v>
      </c>
      <c r="S44" s="771">
        <f t="shared" si="12"/>
        <v>100</v>
      </c>
      <c r="T44" s="770" t="s">
        <v>21</v>
      </c>
      <c r="U44" s="771">
        <f t="shared" si="13"/>
        <v>100</v>
      </c>
      <c r="V44" s="770" t="s">
        <v>21</v>
      </c>
      <c r="W44" s="771">
        <f t="shared" si="14"/>
        <v>100</v>
      </c>
      <c r="X44" s="772"/>
      <c r="Y44" s="32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0"/>
      <c r="Q45" s="1813">
        <f t="shared" si="11"/>
        <v>111</v>
      </c>
      <c r="R45" s="774" t="s">
        <v>21</v>
      </c>
      <c r="S45" s="775">
        <f t="shared" si="12"/>
        <v>100</v>
      </c>
      <c r="T45" s="774" t="s">
        <v>21</v>
      </c>
      <c r="U45" s="775">
        <f t="shared" si="13"/>
        <v>100</v>
      </c>
      <c r="V45" s="774" t="s">
        <v>21</v>
      </c>
      <c r="W45" s="775">
        <f t="shared" si="14"/>
        <v>100</v>
      </c>
      <c r="X45" s="1816"/>
      <c r="Y45" s="327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1"/>
      <c r="Q46" s="1813">
        <f t="shared" si="11"/>
        <v>111</v>
      </c>
      <c r="R46" s="774" t="s">
        <v>20</v>
      </c>
      <c r="S46" s="775">
        <f t="shared" si="12"/>
        <v>100</v>
      </c>
      <c r="T46" s="774" t="s">
        <v>20</v>
      </c>
      <c r="U46" s="775">
        <f t="shared" si="13"/>
        <v>100</v>
      </c>
      <c r="V46" s="774" t="s">
        <v>20</v>
      </c>
      <c r="W46" s="775">
        <f t="shared" si="14"/>
        <v>100</v>
      </c>
      <c r="X46" s="1816"/>
      <c r="Y46" s="3273"/>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65" t="str">
        <f>A47</f>
        <v>成交单价（元/平方米）</v>
      </c>
      <c r="Q47" s="3265"/>
      <c r="R47" s="3266">
        <f>E47</f>
        <v>0</v>
      </c>
      <c r="S47" s="3266"/>
      <c r="T47" s="3266">
        <f>G47</f>
        <v>0</v>
      </c>
      <c r="U47" s="3266"/>
      <c r="V47" s="3266">
        <f>I47</f>
        <v>0</v>
      </c>
      <c r="W47" s="3266"/>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96"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96"/>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96"/>
      <c r="AC6" s="3279"/>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0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6"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6"/>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6"/>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6"/>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6"/>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4" t="s">
        <v>2559</v>
      </c>
      <c r="Q15" s="1813" t="str">
        <f t="shared" si="6"/>
        <v>商业繁华度</v>
      </c>
      <c r="R15" s="774" t="s">
        <v>17</v>
      </c>
      <c r="S15" s="775">
        <f t="shared" si="0"/>
        <v>100</v>
      </c>
      <c r="T15" s="774" t="s">
        <v>17</v>
      </c>
      <c r="U15" s="775">
        <f t="shared" si="1"/>
        <v>100</v>
      </c>
      <c r="V15" s="774" t="s">
        <v>17</v>
      </c>
      <c r="W15" s="775">
        <f t="shared" si="2"/>
        <v>100</v>
      </c>
      <c r="X15" s="1816"/>
      <c r="Y15" s="3267"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5"/>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5"/>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75"/>
      <c r="Q18" s="1813"/>
      <c r="R18" s="774"/>
      <c r="S18" s="775"/>
      <c r="T18" s="774"/>
      <c r="U18" s="775"/>
      <c r="V18" s="774"/>
      <c r="W18" s="775"/>
      <c r="X18" s="1816"/>
      <c r="Y18" s="3268"/>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5"/>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75"/>
      <c r="Q20" s="1813"/>
      <c r="R20" s="774"/>
      <c r="S20" s="775"/>
      <c r="T20" s="774"/>
      <c r="U20" s="775"/>
      <c r="V20" s="774"/>
      <c r="W20" s="775"/>
      <c r="X20" s="1816"/>
      <c r="Y20" s="3268"/>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75"/>
      <c r="Q22" s="1813"/>
      <c r="R22" s="774"/>
      <c r="S22" s="775"/>
      <c r="T22" s="774"/>
      <c r="U22" s="775"/>
      <c r="V22" s="774"/>
      <c r="W22" s="775"/>
      <c r="X22" s="1816"/>
      <c r="Y22" s="3268"/>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5"/>
      <c r="Q23" s="1813" t="str">
        <f>B23</f>
        <v>自然及人文环境</v>
      </c>
      <c r="R23" s="774" t="s">
        <v>17</v>
      </c>
      <c r="S23" s="775">
        <f>F23</f>
        <v>100</v>
      </c>
      <c r="T23" s="774" t="s">
        <v>17</v>
      </c>
      <c r="U23" s="775">
        <f>H23</f>
        <v>100</v>
      </c>
      <c r="V23" s="774" t="s">
        <v>17</v>
      </c>
      <c r="W23" s="775">
        <f>J23</f>
        <v>100</v>
      </c>
      <c r="X23" s="1816"/>
      <c r="Y23" s="3268"/>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75"/>
      <c r="Q24" s="1813"/>
      <c r="R24" s="774"/>
      <c r="S24" s="775"/>
      <c r="T24" s="774"/>
      <c r="U24" s="775"/>
      <c r="V24" s="774"/>
      <c r="W24" s="775"/>
      <c r="X24" s="1816"/>
      <c r="Y24" s="3268"/>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5"/>
      <c r="Q25" s="1813" t="str">
        <f t="shared" ref="Q25:Q46" si="11">B25</f>
        <v>临街状况</v>
      </c>
      <c r="R25" s="774" t="s">
        <v>17</v>
      </c>
      <c r="S25" s="775">
        <f>F25</f>
        <v>100</v>
      </c>
      <c r="T25" s="774" t="s">
        <v>17</v>
      </c>
      <c r="U25" s="775">
        <f>H25</f>
        <v>100</v>
      </c>
      <c r="V25" s="774" t="s">
        <v>17</v>
      </c>
      <c r="W25" s="775">
        <f>J25</f>
        <v>100</v>
      </c>
      <c r="X25" s="1816"/>
      <c r="Y25" s="3268"/>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5"/>
      <c r="Q26" s="1813" t="str">
        <f t="shared" si="11"/>
        <v>平面位置/可视性</v>
      </c>
      <c r="R26" s="774" t="s">
        <v>17</v>
      </c>
      <c r="S26" s="775">
        <f>F26</f>
        <v>100</v>
      </c>
      <c r="T26" s="774" t="s">
        <v>17</v>
      </c>
      <c r="U26" s="775">
        <f>H26</f>
        <v>100</v>
      </c>
      <c r="V26" s="774" t="s">
        <v>17</v>
      </c>
      <c r="W26" s="775">
        <f>J26</f>
        <v>100</v>
      </c>
      <c r="X26" s="1816"/>
      <c r="Y26" s="3268"/>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75"/>
      <c r="Q27" s="1798" t="str">
        <f t="shared" si="11"/>
        <v>人流量</v>
      </c>
      <c r="R27" s="770" t="s">
        <v>17</v>
      </c>
      <c r="S27" s="771">
        <f>F27</f>
        <v>100</v>
      </c>
      <c r="T27" s="770" t="s">
        <v>17</v>
      </c>
      <c r="U27" s="771">
        <f>H27</f>
        <v>100</v>
      </c>
      <c r="V27" s="770" t="s">
        <v>17</v>
      </c>
      <c r="W27" s="771">
        <f>J27</f>
        <v>100</v>
      </c>
      <c r="X27" s="772"/>
      <c r="Y27" s="3268"/>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5"/>
      <c r="Q29" s="1813">
        <f t="shared" si="11"/>
        <v>111</v>
      </c>
      <c r="R29" s="774" t="s">
        <v>17</v>
      </c>
      <c r="S29" s="775">
        <f t="shared" si="12"/>
        <v>100</v>
      </c>
      <c r="T29" s="774" t="s">
        <v>17</v>
      </c>
      <c r="U29" s="775">
        <f t="shared" si="13"/>
        <v>100</v>
      </c>
      <c r="V29" s="774" t="s">
        <v>17</v>
      </c>
      <c r="W29" s="775">
        <f t="shared" si="14"/>
        <v>100</v>
      </c>
      <c r="X29" s="1816"/>
      <c r="Y29" s="32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5"/>
      <c r="Q30" s="1813">
        <f t="shared" si="11"/>
        <v>111</v>
      </c>
      <c r="R30" s="774" t="s">
        <v>17</v>
      </c>
      <c r="S30" s="775">
        <f t="shared" si="12"/>
        <v>100</v>
      </c>
      <c r="T30" s="774" t="s">
        <v>17</v>
      </c>
      <c r="U30" s="775">
        <f t="shared" si="13"/>
        <v>100</v>
      </c>
      <c r="V30" s="774" t="s">
        <v>17</v>
      </c>
      <c r="W30" s="775">
        <f t="shared" si="14"/>
        <v>100</v>
      </c>
      <c r="X30" s="1816"/>
      <c r="Y30" s="32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5"/>
      <c r="Q31" s="1813">
        <f t="shared" si="11"/>
        <v>111</v>
      </c>
      <c r="R31" s="774" t="s">
        <v>17</v>
      </c>
      <c r="S31" s="775">
        <f t="shared" si="12"/>
        <v>100</v>
      </c>
      <c r="T31" s="774" t="s">
        <v>17</v>
      </c>
      <c r="U31" s="775">
        <f t="shared" si="13"/>
        <v>100</v>
      </c>
      <c r="V31" s="774" t="s">
        <v>17</v>
      </c>
      <c r="W31" s="775">
        <f t="shared" si="14"/>
        <v>100</v>
      </c>
      <c r="X31" s="1816"/>
      <c r="Y31" s="3268"/>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69" t="s">
        <v>2564</v>
      </c>
      <c r="Q32" s="1813" t="str">
        <f t="shared" si="11"/>
        <v>商业类型</v>
      </c>
      <c r="R32" s="774" t="s">
        <v>17</v>
      </c>
      <c r="S32" s="775">
        <f t="shared" si="12"/>
        <v>100</v>
      </c>
      <c r="T32" s="774" t="s">
        <v>17</v>
      </c>
      <c r="U32" s="775">
        <f t="shared" si="13"/>
        <v>100</v>
      </c>
      <c r="V32" s="774" t="s">
        <v>17</v>
      </c>
      <c r="W32" s="775">
        <f t="shared" si="14"/>
        <v>100</v>
      </c>
      <c r="X32" s="1816"/>
      <c r="Y32" s="3272"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0"/>
      <c r="Q33" s="776" t="str">
        <f t="shared" si="11"/>
        <v>项目建筑规模</v>
      </c>
      <c r="R33" s="777" t="s">
        <v>17</v>
      </c>
      <c r="S33" s="778" t="e">
        <f t="shared" si="12"/>
        <v>#N/A</v>
      </c>
      <c r="T33" s="777" t="s">
        <v>17</v>
      </c>
      <c r="U33" s="778" t="e">
        <f t="shared" si="13"/>
        <v>#N/A</v>
      </c>
      <c r="V33" s="777" t="s">
        <v>17</v>
      </c>
      <c r="W33" s="778" t="e">
        <f t="shared" si="14"/>
        <v>#N/A</v>
      </c>
      <c r="X33" s="779"/>
      <c r="Y33" s="3272"/>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0"/>
      <c r="Q34" s="1813" t="str">
        <f t="shared" si="11"/>
        <v>建筑结构</v>
      </c>
      <c r="R34" s="774" t="s">
        <v>17</v>
      </c>
      <c r="S34" s="775">
        <f t="shared" si="12"/>
        <v>100</v>
      </c>
      <c r="T34" s="774" t="s">
        <v>17</v>
      </c>
      <c r="U34" s="775">
        <f t="shared" si="13"/>
        <v>100</v>
      </c>
      <c r="V34" s="774" t="s">
        <v>17</v>
      </c>
      <c r="W34" s="775">
        <f t="shared" si="14"/>
        <v>100</v>
      </c>
      <c r="X34" s="1816"/>
      <c r="Y34" s="3272"/>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0"/>
      <c r="Q35" s="1813" t="str">
        <f t="shared" si="11"/>
        <v>公共部分装修</v>
      </c>
      <c r="R35" s="774" t="s">
        <v>17</v>
      </c>
      <c r="S35" s="775">
        <f t="shared" si="12"/>
        <v>100</v>
      </c>
      <c r="T35" s="774" t="s">
        <v>17</v>
      </c>
      <c r="U35" s="775">
        <f t="shared" si="13"/>
        <v>100</v>
      </c>
      <c r="V35" s="774" t="s">
        <v>17</v>
      </c>
      <c r="W35" s="775">
        <f t="shared" si="14"/>
        <v>100</v>
      </c>
      <c r="X35" s="1816"/>
      <c r="Y35" s="3272"/>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0"/>
      <c r="Q36" s="1813" t="str">
        <f t="shared" si="11"/>
        <v>成新度</v>
      </c>
      <c r="R36" s="774" t="s">
        <v>17</v>
      </c>
      <c r="S36" s="775" t="e">
        <f t="shared" si="12"/>
        <v>#N/A</v>
      </c>
      <c r="T36" s="774" t="s">
        <v>17</v>
      </c>
      <c r="U36" s="775" t="e">
        <f t="shared" si="13"/>
        <v>#N/A</v>
      </c>
      <c r="V36" s="774" t="s">
        <v>17</v>
      </c>
      <c r="W36" s="775" t="e">
        <f t="shared" si="14"/>
        <v>#N/A</v>
      </c>
      <c r="X36" s="1816"/>
      <c r="Y36" s="3272"/>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0"/>
      <c r="Q37" s="1798" t="str">
        <f t="shared" si="11"/>
        <v>市政基础设施</v>
      </c>
      <c r="R37" s="770" t="s">
        <v>17</v>
      </c>
      <c r="S37" s="771">
        <f t="shared" si="12"/>
        <v>100</v>
      </c>
      <c r="T37" s="770" t="s">
        <v>17</v>
      </c>
      <c r="U37" s="771">
        <f t="shared" si="13"/>
        <v>100</v>
      </c>
      <c r="V37" s="770" t="s">
        <v>17</v>
      </c>
      <c r="W37" s="771">
        <f t="shared" si="14"/>
        <v>100</v>
      </c>
      <c r="X37" s="772"/>
      <c r="Y37" s="3272"/>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0" t="s">
        <v>2564</v>
      </c>
      <c r="Q38" s="1813" t="str">
        <f t="shared" si="11"/>
        <v>业态</v>
      </c>
      <c r="R38" s="774" t="s">
        <v>17</v>
      </c>
      <c r="S38" s="775">
        <f t="shared" si="12"/>
        <v>100</v>
      </c>
      <c r="T38" s="774" t="s">
        <v>17</v>
      </c>
      <c r="U38" s="775">
        <f t="shared" si="13"/>
        <v>100</v>
      </c>
      <c r="V38" s="774" t="s">
        <v>17</v>
      </c>
      <c r="W38" s="775">
        <f t="shared" si="14"/>
        <v>100</v>
      </c>
      <c r="X38" s="1816"/>
      <c r="Y38" s="3272"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0"/>
      <c r="Q39" s="1813" t="str">
        <f t="shared" si="11"/>
        <v>层高</v>
      </c>
      <c r="R39" s="774" t="s">
        <v>17</v>
      </c>
      <c r="S39" s="775">
        <f t="shared" si="12"/>
        <v>100</v>
      </c>
      <c r="T39" s="774" t="s">
        <v>17</v>
      </c>
      <c r="U39" s="775">
        <f t="shared" si="13"/>
        <v>100</v>
      </c>
      <c r="V39" s="774" t="s">
        <v>17</v>
      </c>
      <c r="W39" s="775">
        <f t="shared" si="14"/>
        <v>100</v>
      </c>
      <c r="X39" s="1816"/>
      <c r="Y39" s="3272"/>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0"/>
      <c r="Q40" s="1813" t="str">
        <f t="shared" si="11"/>
        <v>单套建筑面积</v>
      </c>
      <c r="R40" s="774" t="s">
        <v>17</v>
      </c>
      <c r="S40" s="775">
        <f t="shared" si="12"/>
        <v>100</v>
      </c>
      <c r="T40" s="774" t="s">
        <v>17</v>
      </c>
      <c r="U40" s="775">
        <f t="shared" si="13"/>
        <v>100</v>
      </c>
      <c r="V40" s="774" t="s">
        <v>17</v>
      </c>
      <c r="W40" s="775">
        <f t="shared" si="14"/>
        <v>100</v>
      </c>
      <c r="X40" s="1816"/>
      <c r="Y40" s="3272"/>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0"/>
      <c r="Q41" s="776" t="str">
        <f t="shared" si="11"/>
        <v>进深比</v>
      </c>
      <c r="R41" s="777" t="s">
        <v>17</v>
      </c>
      <c r="S41" s="778">
        <f t="shared" si="12"/>
        <v>100</v>
      </c>
      <c r="T41" s="777" t="s">
        <v>17</v>
      </c>
      <c r="U41" s="778">
        <f t="shared" si="13"/>
        <v>100</v>
      </c>
      <c r="V41" s="777" t="s">
        <v>17</v>
      </c>
      <c r="W41" s="778">
        <f t="shared" si="14"/>
        <v>100</v>
      </c>
      <c r="X41" s="779"/>
      <c r="Y41" s="3272"/>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0"/>
      <c r="Q42" s="1813" t="str">
        <f t="shared" si="11"/>
        <v>内部装修</v>
      </c>
      <c r="R42" s="774" t="s">
        <v>17</v>
      </c>
      <c r="S42" s="775">
        <f t="shared" si="12"/>
        <v>100</v>
      </c>
      <c r="T42" s="774" t="s">
        <v>17</v>
      </c>
      <c r="U42" s="775">
        <f t="shared" si="13"/>
        <v>100</v>
      </c>
      <c r="V42" s="774" t="s">
        <v>17</v>
      </c>
      <c r="W42" s="775">
        <f t="shared" si="14"/>
        <v>100</v>
      </c>
      <c r="X42" s="1816"/>
      <c r="Y42" s="3272"/>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0"/>
      <c r="Q43" s="1813" t="str">
        <f t="shared" si="11"/>
        <v>内部装修维护情况</v>
      </c>
      <c r="R43" s="774" t="s">
        <v>17</v>
      </c>
      <c r="S43" s="775">
        <f t="shared" si="12"/>
        <v>100</v>
      </c>
      <c r="T43" s="774" t="s">
        <v>17</v>
      </c>
      <c r="U43" s="775">
        <f t="shared" si="13"/>
        <v>100</v>
      </c>
      <c r="V43" s="774" t="s">
        <v>17</v>
      </c>
      <c r="W43" s="775">
        <f t="shared" si="14"/>
        <v>100</v>
      </c>
      <c r="X43" s="1816"/>
      <c r="Y43" s="32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0"/>
      <c r="Q44" s="1798">
        <f t="shared" si="11"/>
        <v>111</v>
      </c>
      <c r="R44" s="770" t="s">
        <v>17</v>
      </c>
      <c r="S44" s="771">
        <f t="shared" si="12"/>
        <v>100</v>
      </c>
      <c r="T44" s="770" t="s">
        <v>17</v>
      </c>
      <c r="U44" s="771">
        <f t="shared" si="13"/>
        <v>100</v>
      </c>
      <c r="V44" s="770" t="s">
        <v>17</v>
      </c>
      <c r="W44" s="771">
        <f t="shared" si="14"/>
        <v>100</v>
      </c>
      <c r="X44" s="772"/>
      <c r="Y44" s="32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0"/>
      <c r="Q45" s="1813">
        <f t="shared" si="11"/>
        <v>111</v>
      </c>
      <c r="R45" s="774" t="s">
        <v>17</v>
      </c>
      <c r="S45" s="775">
        <f t="shared" si="12"/>
        <v>100</v>
      </c>
      <c r="T45" s="774" t="s">
        <v>17</v>
      </c>
      <c r="U45" s="775">
        <f t="shared" si="13"/>
        <v>100</v>
      </c>
      <c r="V45" s="774" t="s">
        <v>17</v>
      </c>
      <c r="W45" s="775">
        <f t="shared" si="14"/>
        <v>100</v>
      </c>
      <c r="X45" s="1816"/>
      <c r="Y45" s="327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1"/>
      <c r="Q46" s="1813">
        <f t="shared" si="11"/>
        <v>111</v>
      </c>
      <c r="R46" s="774" t="s">
        <v>17</v>
      </c>
      <c r="S46" s="775">
        <f t="shared" si="12"/>
        <v>100</v>
      </c>
      <c r="T46" s="774" t="s">
        <v>17</v>
      </c>
      <c r="U46" s="775">
        <f t="shared" si="13"/>
        <v>100</v>
      </c>
      <c r="V46" s="774" t="s">
        <v>17</v>
      </c>
      <c r="W46" s="775">
        <f t="shared" si="14"/>
        <v>100</v>
      </c>
      <c r="X46" s="1816"/>
      <c r="Y46" s="3273"/>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65" t="str">
        <f>A47</f>
        <v>成交单价（元/平方米）</v>
      </c>
      <c r="Q47" s="3265"/>
      <c r="R47" s="3296">
        <f>E47</f>
        <v>0</v>
      </c>
      <c r="S47" s="3296"/>
      <c r="T47" s="3296">
        <f>G47</f>
        <v>0</v>
      </c>
      <c r="U47" s="3296"/>
      <c r="V47" s="3296">
        <f>I47</f>
        <v>0</v>
      </c>
      <c r="W47" s="3296"/>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314" t="s">
        <v>2650</v>
      </c>
      <c r="Q4" s="3315"/>
      <c r="R4" s="3318" t="s">
        <v>2646</v>
      </c>
      <c r="S4" s="3319"/>
      <c r="T4" s="3318" t="s">
        <v>2647</v>
      </c>
      <c r="U4" s="3319"/>
      <c r="V4" s="3320" t="s">
        <v>2648</v>
      </c>
      <c r="W4" s="3320"/>
      <c r="X4" s="2675"/>
      <c r="Y4" s="3318" t="s">
        <v>2650</v>
      </c>
      <c r="Z4" s="3319"/>
      <c r="AA4" s="3322" t="s">
        <v>2646</v>
      </c>
      <c r="AB4" s="3322" t="s">
        <v>2647</v>
      </c>
      <c r="AC4" s="3311" t="s">
        <v>2648</v>
      </c>
    </row>
    <row r="5" spans="1:29" ht="15">
      <c r="A5" s="404"/>
      <c r="B5" s="405"/>
      <c r="C5" s="3299" t="s">
        <v>2541</v>
      </c>
      <c r="D5" s="3300"/>
      <c r="E5" s="3306" t="s">
        <v>2542</v>
      </c>
      <c r="F5" s="3307"/>
      <c r="G5" s="3299" t="s">
        <v>2543</v>
      </c>
      <c r="H5" s="3300"/>
      <c r="I5" s="3299" t="s">
        <v>2544</v>
      </c>
      <c r="J5" s="3300"/>
      <c r="K5" s="610"/>
      <c r="L5" s="1133"/>
      <c r="M5" s="1134"/>
      <c r="N5" s="1134"/>
      <c r="O5" s="1134"/>
      <c r="P5" s="3316"/>
      <c r="Q5" s="3287"/>
      <c r="R5" s="3292"/>
      <c r="S5" s="3293"/>
      <c r="T5" s="3292"/>
      <c r="U5" s="3293"/>
      <c r="V5" s="3296"/>
      <c r="W5" s="3296"/>
      <c r="X5" s="1816"/>
      <c r="Y5" s="3292"/>
      <c r="Z5" s="3293"/>
      <c r="AA5" s="3278"/>
      <c r="AB5" s="3278"/>
      <c r="AC5" s="3312"/>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317"/>
      <c r="Q6" s="3289"/>
      <c r="R6" s="3292"/>
      <c r="S6" s="3293"/>
      <c r="T6" s="3294"/>
      <c r="U6" s="3295"/>
      <c r="V6" s="3296"/>
      <c r="W6" s="3296"/>
      <c r="X6" s="1816"/>
      <c r="Y6" s="3294"/>
      <c r="Z6" s="3295"/>
      <c r="AA6" s="3279"/>
      <c r="AB6" s="3279"/>
      <c r="AC6" s="3313"/>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1" t="s">
        <v>2551</v>
      </c>
      <c r="Q8" s="3302"/>
      <c r="R8" s="770" t="s">
        <v>17</v>
      </c>
      <c r="S8" s="771">
        <f t="shared" si="0"/>
        <v>0</v>
      </c>
      <c r="T8" s="770" t="s">
        <v>17</v>
      </c>
      <c r="U8" s="771">
        <f t="shared" si="1"/>
        <v>0</v>
      </c>
      <c r="V8" s="770" t="s">
        <v>17</v>
      </c>
      <c r="W8" s="771">
        <f t="shared" si="2"/>
        <v>0</v>
      </c>
      <c r="X8" s="772"/>
      <c r="Y8" s="3301" t="s">
        <v>2551</v>
      </c>
      <c r="Z8" s="3302"/>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6"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6"/>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6"/>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76"/>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76"/>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76"/>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4" t="s">
        <v>2559</v>
      </c>
      <c r="Q15" s="1813" t="str">
        <f t="shared" si="6"/>
        <v>办公集聚程度</v>
      </c>
      <c r="R15" s="774" t="s">
        <v>17</v>
      </c>
      <c r="S15" s="775">
        <f t="shared" si="0"/>
        <v>100</v>
      </c>
      <c r="T15" s="774" t="s">
        <v>17</v>
      </c>
      <c r="U15" s="775">
        <f t="shared" si="1"/>
        <v>100</v>
      </c>
      <c r="V15" s="774" t="s">
        <v>17</v>
      </c>
      <c r="W15" s="775">
        <f t="shared" si="2"/>
        <v>100</v>
      </c>
      <c r="X15" s="1816"/>
      <c r="Y15" s="3267"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75"/>
      <c r="Q16" s="1813"/>
      <c r="R16" s="774"/>
      <c r="S16" s="775"/>
      <c r="T16" s="774"/>
      <c r="U16" s="775"/>
      <c r="V16" s="774"/>
      <c r="W16" s="775"/>
      <c r="X16" s="1816"/>
      <c r="Y16" s="3268"/>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5"/>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75"/>
      <c r="Q18" s="1813"/>
      <c r="R18" s="774"/>
      <c r="S18" s="775"/>
      <c r="T18" s="774"/>
      <c r="U18" s="775"/>
      <c r="V18" s="774"/>
      <c r="W18" s="775"/>
      <c r="X18" s="1816"/>
      <c r="Y18" s="3268"/>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5"/>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75"/>
      <c r="Q20" s="1813"/>
      <c r="R20" s="774"/>
      <c r="S20" s="775"/>
      <c r="T20" s="774"/>
      <c r="U20" s="775"/>
      <c r="V20" s="774"/>
      <c r="W20" s="775"/>
      <c r="X20" s="1816"/>
      <c r="Y20" s="3268"/>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5"/>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75"/>
      <c r="Q22" s="1813"/>
      <c r="R22" s="774"/>
      <c r="S22" s="775"/>
      <c r="T22" s="774"/>
      <c r="U22" s="775"/>
      <c r="V22" s="774"/>
      <c r="W22" s="775"/>
      <c r="X22" s="1816"/>
      <c r="Y22" s="3268"/>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5"/>
      <c r="Q23" s="1813" t="str">
        <f>B23</f>
        <v>环境质量</v>
      </c>
      <c r="R23" s="774" t="s">
        <v>17</v>
      </c>
      <c r="S23" s="775">
        <f>F23</f>
        <v>100</v>
      </c>
      <c r="T23" s="774" t="s">
        <v>17</v>
      </c>
      <c r="U23" s="775">
        <f>H23</f>
        <v>100</v>
      </c>
      <c r="V23" s="774" t="s">
        <v>17</v>
      </c>
      <c r="W23" s="775">
        <f>J23</f>
        <v>100</v>
      </c>
      <c r="X23" s="1816"/>
      <c r="Y23" s="3268"/>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75"/>
      <c r="Q24" s="1813"/>
      <c r="R24" s="774"/>
      <c r="S24" s="775"/>
      <c r="T24" s="774"/>
      <c r="U24" s="775"/>
      <c r="V24" s="774"/>
      <c r="W24" s="775"/>
      <c r="X24" s="1816"/>
      <c r="Y24" s="3268"/>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75"/>
      <c r="Q25" s="1813" t="str">
        <f>B25</f>
        <v>毗邻道路的类型与等级</v>
      </c>
      <c r="R25" s="774" t="s">
        <v>17</v>
      </c>
      <c r="S25" s="775">
        <f>F25</f>
        <v>100</v>
      </c>
      <c r="T25" s="774" t="s">
        <v>17</v>
      </c>
      <c r="U25" s="775">
        <f>H25</f>
        <v>100</v>
      </c>
      <c r="V25" s="774" t="s">
        <v>17</v>
      </c>
      <c r="W25" s="775">
        <f>J25</f>
        <v>100</v>
      </c>
      <c r="X25" s="1816"/>
      <c r="Y25" s="3268"/>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75"/>
      <c r="Q26" s="1813"/>
      <c r="R26" s="774"/>
      <c r="S26" s="775"/>
      <c r="T26" s="774"/>
      <c r="U26" s="775"/>
      <c r="V26" s="774"/>
      <c r="W26" s="775"/>
      <c r="X26" s="1816"/>
      <c r="Y26" s="3268"/>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5"/>
      <c r="Q27" s="1813" t="str">
        <f t="shared" ref="Q27:Q47" si="11">B27</f>
        <v>楼层</v>
      </c>
      <c r="R27" s="774" t="s">
        <v>17</v>
      </c>
      <c r="S27" s="775">
        <f>F27</f>
        <v>100</v>
      </c>
      <c r="T27" s="774" t="s">
        <v>17</v>
      </c>
      <c r="U27" s="775">
        <f>H27</f>
        <v>100</v>
      </c>
      <c r="V27" s="774" t="s">
        <v>17</v>
      </c>
      <c r="W27" s="775">
        <f>J27</f>
        <v>100</v>
      </c>
      <c r="X27" s="1816"/>
      <c r="Y27" s="3268"/>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75"/>
      <c r="Q28" s="1798" t="str">
        <f t="shared" si="11"/>
        <v>朝向</v>
      </c>
      <c r="R28" s="770" t="s">
        <v>17</v>
      </c>
      <c r="S28" s="771">
        <f>F28</f>
        <v>100</v>
      </c>
      <c r="T28" s="770" t="s">
        <v>17</v>
      </c>
      <c r="U28" s="771">
        <f>H28</f>
        <v>100</v>
      </c>
      <c r="V28" s="770" t="s">
        <v>17</v>
      </c>
      <c r="W28" s="771">
        <f>J28</f>
        <v>100</v>
      </c>
      <c r="X28" s="772"/>
      <c r="Y28" s="3268"/>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75"/>
      <c r="Q29" s="1813">
        <f t="shared" si="11"/>
        <v>111</v>
      </c>
      <c r="R29" s="774" t="s">
        <v>17</v>
      </c>
      <c r="S29" s="775">
        <f t="shared" ref="S29:S47" si="12">F29</f>
        <v>100</v>
      </c>
      <c r="T29" s="774" t="s">
        <v>17</v>
      </c>
      <c r="U29" s="775">
        <f t="shared" ref="U29:U47" si="13">H29</f>
        <v>100</v>
      </c>
      <c r="V29" s="774" t="s">
        <v>17</v>
      </c>
      <c r="W29" s="775">
        <f t="shared" ref="W29:W47" si="14">J29</f>
        <v>100</v>
      </c>
      <c r="X29" s="1816"/>
      <c r="Y29" s="3268"/>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75"/>
      <c r="Q30" s="1813">
        <f t="shared" si="11"/>
        <v>111</v>
      </c>
      <c r="R30" s="774" t="s">
        <v>17</v>
      </c>
      <c r="S30" s="775">
        <f t="shared" si="12"/>
        <v>100</v>
      </c>
      <c r="T30" s="774" t="s">
        <v>17</v>
      </c>
      <c r="U30" s="775">
        <f t="shared" si="13"/>
        <v>100</v>
      </c>
      <c r="V30" s="774" t="s">
        <v>17</v>
      </c>
      <c r="W30" s="775">
        <f t="shared" si="14"/>
        <v>100</v>
      </c>
      <c r="X30" s="1816"/>
      <c r="Y30" s="3268"/>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75"/>
      <c r="Q31" s="1813">
        <f t="shared" si="11"/>
        <v>111</v>
      </c>
      <c r="R31" s="774" t="s">
        <v>17</v>
      </c>
      <c r="S31" s="775">
        <f t="shared" si="12"/>
        <v>100</v>
      </c>
      <c r="T31" s="774" t="s">
        <v>17</v>
      </c>
      <c r="U31" s="775">
        <f t="shared" si="13"/>
        <v>100</v>
      </c>
      <c r="V31" s="774" t="s">
        <v>17</v>
      </c>
      <c r="W31" s="775">
        <f t="shared" si="14"/>
        <v>100</v>
      </c>
      <c r="X31" s="1816"/>
      <c r="Y31" s="3268"/>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75"/>
      <c r="Q32" s="1813">
        <f t="shared" si="11"/>
        <v>111</v>
      </c>
      <c r="R32" s="774" t="s">
        <v>17</v>
      </c>
      <c r="S32" s="775">
        <f t="shared" si="12"/>
        <v>100</v>
      </c>
      <c r="T32" s="774" t="s">
        <v>17</v>
      </c>
      <c r="U32" s="775">
        <f t="shared" si="13"/>
        <v>100</v>
      </c>
      <c r="V32" s="774" t="s">
        <v>17</v>
      </c>
      <c r="W32" s="775">
        <f t="shared" si="14"/>
        <v>100</v>
      </c>
      <c r="X32" s="1816"/>
      <c r="Y32" s="3268"/>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69" t="s">
        <v>2564</v>
      </c>
      <c r="Q33" s="1813" t="str">
        <f t="shared" si="11"/>
        <v>建筑类型</v>
      </c>
      <c r="R33" s="774" t="s">
        <v>17</v>
      </c>
      <c r="S33" s="775">
        <f t="shared" si="12"/>
        <v>100</v>
      </c>
      <c r="T33" s="774" t="s">
        <v>17</v>
      </c>
      <c r="U33" s="775">
        <f t="shared" si="13"/>
        <v>100</v>
      </c>
      <c r="V33" s="774" t="s">
        <v>17</v>
      </c>
      <c r="W33" s="775">
        <f t="shared" si="14"/>
        <v>100</v>
      </c>
      <c r="X33" s="1816"/>
      <c r="Y33" s="3272"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0"/>
      <c r="Q34" s="776" t="str">
        <f t="shared" si="11"/>
        <v>项目建筑规模</v>
      </c>
      <c r="R34" s="777" t="s">
        <v>17</v>
      </c>
      <c r="S34" s="778" t="e">
        <f t="shared" si="12"/>
        <v>#N/A</v>
      </c>
      <c r="T34" s="777" t="s">
        <v>17</v>
      </c>
      <c r="U34" s="778" t="e">
        <f t="shared" si="13"/>
        <v>#N/A</v>
      </c>
      <c r="V34" s="777" t="s">
        <v>17</v>
      </c>
      <c r="W34" s="778" t="e">
        <f t="shared" si="14"/>
        <v>#N/A</v>
      </c>
      <c r="X34" s="779"/>
      <c r="Y34" s="3272"/>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0"/>
      <c r="Q35" s="1813" t="str">
        <f t="shared" si="11"/>
        <v>建筑结构</v>
      </c>
      <c r="R35" s="774" t="s">
        <v>17</v>
      </c>
      <c r="S35" s="775">
        <f t="shared" si="12"/>
        <v>100</v>
      </c>
      <c r="T35" s="774" t="s">
        <v>17</v>
      </c>
      <c r="U35" s="775">
        <f t="shared" si="13"/>
        <v>100</v>
      </c>
      <c r="V35" s="774" t="s">
        <v>17</v>
      </c>
      <c r="W35" s="775">
        <f t="shared" si="14"/>
        <v>100</v>
      </c>
      <c r="X35" s="1816"/>
      <c r="Y35" s="3272"/>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0"/>
      <c r="Q36" s="1813" t="str">
        <f t="shared" si="11"/>
        <v>公共部分装修</v>
      </c>
      <c r="R36" s="774" t="s">
        <v>17</v>
      </c>
      <c r="S36" s="775">
        <f t="shared" si="12"/>
        <v>100</v>
      </c>
      <c r="T36" s="774" t="s">
        <v>17</v>
      </c>
      <c r="U36" s="775">
        <f t="shared" si="13"/>
        <v>100</v>
      </c>
      <c r="V36" s="774" t="s">
        <v>17</v>
      </c>
      <c r="W36" s="775">
        <f t="shared" si="14"/>
        <v>100</v>
      </c>
      <c r="X36" s="1816"/>
      <c r="Y36" s="3272"/>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0"/>
      <c r="Q37" s="1813" t="str">
        <f t="shared" si="11"/>
        <v>成新度</v>
      </c>
      <c r="R37" s="774" t="s">
        <v>17</v>
      </c>
      <c r="S37" s="775" t="e">
        <f t="shared" si="12"/>
        <v>#N/A</v>
      </c>
      <c r="T37" s="774" t="s">
        <v>17</v>
      </c>
      <c r="U37" s="775" t="e">
        <f t="shared" si="13"/>
        <v>#N/A</v>
      </c>
      <c r="V37" s="774" t="s">
        <v>17</v>
      </c>
      <c r="W37" s="775" t="e">
        <f t="shared" si="14"/>
        <v>#N/A</v>
      </c>
      <c r="X37" s="1816"/>
      <c r="Y37" s="3272"/>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0"/>
      <c r="Q38" s="1798" t="str">
        <f t="shared" si="11"/>
        <v>写字楼等级</v>
      </c>
      <c r="R38" s="770" t="s">
        <v>17</v>
      </c>
      <c r="S38" s="771">
        <f t="shared" si="12"/>
        <v>100</v>
      </c>
      <c r="T38" s="770" t="s">
        <v>17</v>
      </c>
      <c r="U38" s="771">
        <f t="shared" si="13"/>
        <v>100</v>
      </c>
      <c r="V38" s="770" t="s">
        <v>17</v>
      </c>
      <c r="W38" s="771">
        <f t="shared" si="14"/>
        <v>100</v>
      </c>
      <c r="X38" s="772"/>
      <c r="Y38" s="3272"/>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0" t="s">
        <v>2564</v>
      </c>
      <c r="Q39" s="1813" t="str">
        <f t="shared" si="11"/>
        <v>物业管理</v>
      </c>
      <c r="R39" s="774" t="s">
        <v>17</v>
      </c>
      <c r="S39" s="775">
        <f t="shared" si="12"/>
        <v>100</v>
      </c>
      <c r="T39" s="774" t="s">
        <v>17</v>
      </c>
      <c r="U39" s="775">
        <f t="shared" si="13"/>
        <v>100</v>
      </c>
      <c r="V39" s="774" t="s">
        <v>17</v>
      </c>
      <c r="W39" s="775">
        <f t="shared" si="14"/>
        <v>100</v>
      </c>
      <c r="X39" s="1816"/>
      <c r="Y39" s="3272"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0"/>
      <c r="Q40" s="1813" t="str">
        <f t="shared" si="11"/>
        <v>市政基础设施</v>
      </c>
      <c r="R40" s="774" t="s">
        <v>17</v>
      </c>
      <c r="S40" s="775">
        <f t="shared" si="12"/>
        <v>100</v>
      </c>
      <c r="T40" s="774" t="s">
        <v>17</v>
      </c>
      <c r="U40" s="775">
        <f t="shared" si="13"/>
        <v>100</v>
      </c>
      <c r="V40" s="774" t="s">
        <v>17</v>
      </c>
      <c r="W40" s="775">
        <f t="shared" si="14"/>
        <v>100</v>
      </c>
      <c r="X40" s="1816"/>
      <c r="Y40" s="3272"/>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0"/>
      <c r="Q41" s="1813" t="str">
        <f t="shared" si="11"/>
        <v>层高</v>
      </c>
      <c r="R41" s="774" t="s">
        <v>17</v>
      </c>
      <c r="S41" s="775">
        <f t="shared" si="12"/>
        <v>100</v>
      </c>
      <c r="T41" s="774" t="s">
        <v>17</v>
      </c>
      <c r="U41" s="775">
        <f t="shared" si="13"/>
        <v>100</v>
      </c>
      <c r="V41" s="774" t="s">
        <v>17</v>
      </c>
      <c r="W41" s="775">
        <f t="shared" si="14"/>
        <v>100</v>
      </c>
      <c r="X41" s="1816"/>
      <c r="Y41" s="3272"/>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0"/>
      <c r="Q42" s="776" t="str">
        <f t="shared" si="11"/>
        <v>单套建筑面积</v>
      </c>
      <c r="R42" s="777" t="s">
        <v>17</v>
      </c>
      <c r="S42" s="778">
        <f t="shared" si="12"/>
        <v>100</v>
      </c>
      <c r="T42" s="777" t="s">
        <v>17</v>
      </c>
      <c r="U42" s="778">
        <f t="shared" si="13"/>
        <v>100</v>
      </c>
      <c r="V42" s="777" t="s">
        <v>17</v>
      </c>
      <c r="W42" s="778">
        <f t="shared" si="14"/>
        <v>100</v>
      </c>
      <c r="X42" s="779"/>
      <c r="Y42" s="3272"/>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0"/>
      <c r="Q43" s="1813" t="str">
        <f t="shared" si="11"/>
        <v>内部装修</v>
      </c>
      <c r="R43" s="774" t="s">
        <v>17</v>
      </c>
      <c r="S43" s="775">
        <f t="shared" si="12"/>
        <v>100</v>
      </c>
      <c r="T43" s="774" t="s">
        <v>17</v>
      </c>
      <c r="U43" s="775">
        <f t="shared" si="13"/>
        <v>100</v>
      </c>
      <c r="V43" s="774" t="s">
        <v>17</v>
      </c>
      <c r="W43" s="775">
        <f t="shared" si="14"/>
        <v>100</v>
      </c>
      <c r="X43" s="1816"/>
      <c r="Y43" s="3272"/>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0"/>
      <c r="Q44" s="1813" t="str">
        <f t="shared" si="11"/>
        <v>内部装修维护情况</v>
      </c>
      <c r="R44" s="774" t="s">
        <v>17</v>
      </c>
      <c r="S44" s="775">
        <f t="shared" si="12"/>
        <v>100</v>
      </c>
      <c r="T44" s="774" t="s">
        <v>17</v>
      </c>
      <c r="U44" s="775">
        <f t="shared" si="13"/>
        <v>100</v>
      </c>
      <c r="V44" s="774" t="s">
        <v>17</v>
      </c>
      <c r="W44" s="775">
        <f t="shared" si="14"/>
        <v>100</v>
      </c>
      <c r="X44" s="1816"/>
      <c r="Y44" s="3272"/>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0"/>
      <c r="Q45" s="1798">
        <f t="shared" si="11"/>
        <v>111</v>
      </c>
      <c r="R45" s="770" t="s">
        <v>17</v>
      </c>
      <c r="S45" s="771">
        <f t="shared" si="12"/>
        <v>100</v>
      </c>
      <c r="T45" s="770" t="s">
        <v>17</v>
      </c>
      <c r="U45" s="771">
        <f t="shared" si="13"/>
        <v>100</v>
      </c>
      <c r="V45" s="770" t="s">
        <v>17</v>
      </c>
      <c r="W45" s="771">
        <f t="shared" si="14"/>
        <v>100</v>
      </c>
      <c r="X45" s="772"/>
      <c r="Y45" s="327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0"/>
      <c r="Q46" s="1813">
        <f t="shared" si="11"/>
        <v>111</v>
      </c>
      <c r="R46" s="774" t="s">
        <v>17</v>
      </c>
      <c r="S46" s="775">
        <f t="shared" si="12"/>
        <v>100</v>
      </c>
      <c r="T46" s="774" t="s">
        <v>17</v>
      </c>
      <c r="U46" s="775">
        <f t="shared" si="13"/>
        <v>100</v>
      </c>
      <c r="V46" s="774" t="s">
        <v>17</v>
      </c>
      <c r="W46" s="775">
        <f t="shared" si="14"/>
        <v>100</v>
      </c>
      <c r="X46" s="1816"/>
      <c r="Y46" s="327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1"/>
      <c r="Q47" s="1813">
        <f t="shared" si="11"/>
        <v>111</v>
      </c>
      <c r="R47" s="774" t="s">
        <v>17</v>
      </c>
      <c r="S47" s="775">
        <f t="shared" si="12"/>
        <v>100</v>
      </c>
      <c r="T47" s="774" t="s">
        <v>17</v>
      </c>
      <c r="U47" s="775">
        <f t="shared" si="13"/>
        <v>100</v>
      </c>
      <c r="V47" s="774" t="s">
        <v>17</v>
      </c>
      <c r="W47" s="775">
        <f t="shared" si="14"/>
        <v>100</v>
      </c>
      <c r="X47" s="1816"/>
      <c r="Y47" s="3273"/>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76" t="str">
        <f>A48</f>
        <v>成交单价（元/平方米）</v>
      </c>
      <c r="Q48" s="3265"/>
      <c r="R48" s="3266">
        <f>E48</f>
        <v>0</v>
      </c>
      <c r="S48" s="3266"/>
      <c r="T48" s="3266">
        <f>G48</f>
        <v>0</v>
      </c>
      <c r="U48" s="3266"/>
      <c r="V48" s="3266">
        <f>I48</f>
        <v>0</v>
      </c>
      <c r="W48" s="3266"/>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76" t="str">
        <f>A49</f>
        <v>比较价值（元/平方米）</v>
      </c>
      <c r="Q49" s="3265"/>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08" t="str">
        <f>A50</f>
        <v>估价对象XX用房的比较价值（楼面单价，元/平方米）</v>
      </c>
      <c r="Q50" s="3309"/>
      <c r="R50" s="3310" t="e">
        <f>IF(F1="售价",ROUND(AVERAGE(R49:V49),0),ROUND(AVERAGE(R49:V49),1))</f>
        <v>#DIV/0!</v>
      </c>
      <c r="S50" s="3310"/>
      <c r="T50" s="3310"/>
      <c r="U50" s="3310"/>
      <c r="V50" s="3310"/>
      <c r="W50" s="331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0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5"/>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5"/>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7" t="s">
        <v>2559</v>
      </c>
      <c r="Q15" s="1813" t="str">
        <f t="shared" si="6"/>
        <v>产业集聚程度</v>
      </c>
      <c r="R15" s="774" t="s">
        <v>17</v>
      </c>
      <c r="S15" s="775">
        <f t="shared" si="0"/>
        <v>100</v>
      </c>
      <c r="T15" s="774" t="s">
        <v>17</v>
      </c>
      <c r="U15" s="775">
        <f t="shared" si="1"/>
        <v>100</v>
      </c>
      <c r="V15" s="774" t="s">
        <v>17</v>
      </c>
      <c r="W15" s="775">
        <f t="shared" si="2"/>
        <v>100</v>
      </c>
      <c r="X15" s="1816"/>
      <c r="Y15" s="3267"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8"/>
      <c r="Q16" s="1813"/>
      <c r="R16" s="774"/>
      <c r="S16" s="775"/>
      <c r="T16" s="774"/>
      <c r="U16" s="775"/>
      <c r="V16" s="774"/>
      <c r="W16" s="775"/>
      <c r="X16" s="1816"/>
      <c r="Y16" s="3268"/>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8"/>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68"/>
      <c r="Q18" s="1813"/>
      <c r="R18" s="774"/>
      <c r="S18" s="775"/>
      <c r="T18" s="774"/>
      <c r="U18" s="775"/>
      <c r="V18" s="774"/>
      <c r="W18" s="775"/>
      <c r="X18" s="1816"/>
      <c r="Y18" s="3268"/>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8"/>
      <c r="Q19" s="1813" t="str">
        <f>B19</f>
        <v>公共配套设施</v>
      </c>
      <c r="R19" s="774" t="s">
        <v>17</v>
      </c>
      <c r="S19" s="775">
        <f>F19</f>
        <v>100</v>
      </c>
      <c r="T19" s="774" t="s">
        <v>17</v>
      </c>
      <c r="U19" s="775">
        <f>H19</f>
        <v>100</v>
      </c>
      <c r="V19" s="774" t="s">
        <v>17</v>
      </c>
      <c r="W19" s="775">
        <f>J19</f>
        <v>100</v>
      </c>
      <c r="X19" s="1816"/>
      <c r="Y19" s="3268"/>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68"/>
      <c r="Q20" s="1813"/>
      <c r="R20" s="774"/>
      <c r="S20" s="775"/>
      <c r="T20" s="774"/>
      <c r="U20" s="775"/>
      <c r="V20" s="774"/>
      <c r="W20" s="775"/>
      <c r="X20" s="1816"/>
      <c r="Y20" s="3268"/>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8"/>
      <c r="Q21" s="1813" t="str">
        <f>B21</f>
        <v>基础设施水平</v>
      </c>
      <c r="R21" s="774" t="s">
        <v>17</v>
      </c>
      <c r="S21" s="775">
        <f>F21</f>
        <v>100</v>
      </c>
      <c r="T21" s="774" t="s">
        <v>17</v>
      </c>
      <c r="U21" s="775">
        <f>H21</f>
        <v>100</v>
      </c>
      <c r="V21" s="774" t="s">
        <v>17</v>
      </c>
      <c r="W21" s="775">
        <f>J21</f>
        <v>100</v>
      </c>
      <c r="X21" s="1816"/>
      <c r="Y21" s="3268"/>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68"/>
      <c r="Q22" s="1813"/>
      <c r="R22" s="774"/>
      <c r="S22" s="775"/>
      <c r="T22" s="774"/>
      <c r="U22" s="775"/>
      <c r="V22" s="774"/>
      <c r="W22" s="775"/>
      <c r="X22" s="1816"/>
      <c r="Y22" s="3268"/>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8"/>
      <c r="Q23" s="1813" t="str">
        <f>B23</f>
        <v>环境质量</v>
      </c>
      <c r="R23" s="774" t="s">
        <v>17</v>
      </c>
      <c r="S23" s="775">
        <f>F23</f>
        <v>100</v>
      </c>
      <c r="T23" s="774" t="s">
        <v>17</v>
      </c>
      <c r="U23" s="775">
        <f>H23</f>
        <v>100</v>
      </c>
      <c r="V23" s="774" t="s">
        <v>17</v>
      </c>
      <c r="W23" s="775">
        <f>J23</f>
        <v>100</v>
      </c>
      <c r="X23" s="1816"/>
      <c r="Y23" s="3268"/>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68"/>
      <c r="Q24" s="1813"/>
      <c r="R24" s="774"/>
      <c r="S24" s="775"/>
      <c r="T24" s="774"/>
      <c r="U24" s="775"/>
      <c r="V24" s="774"/>
      <c r="W24" s="775"/>
      <c r="X24" s="1816"/>
      <c r="Y24" s="32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8"/>
      <c r="Q25" s="1813">
        <f>B25</f>
        <v>111</v>
      </c>
      <c r="R25" s="774" t="s">
        <v>17</v>
      </c>
      <c r="S25" s="775">
        <f>F25</f>
        <v>100</v>
      </c>
      <c r="T25" s="774" t="s">
        <v>17</v>
      </c>
      <c r="U25" s="775">
        <f>H25</f>
        <v>100</v>
      </c>
      <c r="V25" s="774" t="s">
        <v>17</v>
      </c>
      <c r="W25" s="775">
        <f>J25</f>
        <v>100</v>
      </c>
      <c r="X25" s="1816"/>
      <c r="Y25" s="32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8"/>
      <c r="Q26" s="1813">
        <f t="shared" ref="Q26:Q40" si="11">B26</f>
        <v>111</v>
      </c>
      <c r="R26" s="774" t="s">
        <v>17</v>
      </c>
      <c r="S26" s="775">
        <f>F26</f>
        <v>100</v>
      </c>
      <c r="T26" s="774" t="s">
        <v>17</v>
      </c>
      <c r="U26" s="775">
        <f>H26</f>
        <v>100</v>
      </c>
      <c r="V26" s="774" t="s">
        <v>17</v>
      </c>
      <c r="W26" s="775">
        <f>J26</f>
        <v>100</v>
      </c>
      <c r="X26" s="1816"/>
      <c r="Y26" s="32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8"/>
      <c r="Q27" s="1798">
        <f t="shared" si="11"/>
        <v>111</v>
      </c>
      <c r="R27" s="770" t="s">
        <v>17</v>
      </c>
      <c r="S27" s="771">
        <f>F27</f>
        <v>100</v>
      </c>
      <c r="T27" s="770" t="s">
        <v>17</v>
      </c>
      <c r="U27" s="771">
        <f>H27</f>
        <v>100</v>
      </c>
      <c r="V27" s="770" t="s">
        <v>17</v>
      </c>
      <c r="W27" s="771">
        <f>J27</f>
        <v>100</v>
      </c>
      <c r="X27" s="772"/>
      <c r="Y27" s="32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8"/>
      <c r="Q28" s="1813">
        <f t="shared" si="11"/>
        <v>111</v>
      </c>
      <c r="R28" s="774" t="s">
        <v>17</v>
      </c>
      <c r="S28" s="775">
        <f t="shared" ref="S28:S40" si="12">F28</f>
        <v>100</v>
      </c>
      <c r="T28" s="774" t="s">
        <v>17</v>
      </c>
      <c r="U28" s="775">
        <f t="shared" ref="U28:U40" si="13">H28</f>
        <v>100</v>
      </c>
      <c r="V28" s="774" t="s">
        <v>17</v>
      </c>
      <c r="W28" s="775">
        <f t="shared" ref="W28:W40" si="14">J28</f>
        <v>100</v>
      </c>
      <c r="X28" s="1816"/>
      <c r="Y28" s="3268"/>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3" t="s">
        <v>2564</v>
      </c>
      <c r="Q29" s="1813" t="str">
        <f t="shared" si="11"/>
        <v>建筑类型</v>
      </c>
      <c r="R29" s="774" t="s">
        <v>17</v>
      </c>
      <c r="S29" s="775">
        <f t="shared" si="12"/>
        <v>100</v>
      </c>
      <c r="T29" s="774" t="s">
        <v>17</v>
      </c>
      <c r="U29" s="775">
        <f t="shared" si="13"/>
        <v>100</v>
      </c>
      <c r="V29" s="774" t="s">
        <v>17</v>
      </c>
      <c r="W29" s="775">
        <f t="shared" si="14"/>
        <v>100</v>
      </c>
      <c r="X29" s="1816"/>
      <c r="Y29" s="3272"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2"/>
      <c r="Q30" s="776" t="str">
        <f t="shared" si="11"/>
        <v>项目建筑规模</v>
      </c>
      <c r="R30" s="777" t="s">
        <v>17</v>
      </c>
      <c r="S30" s="778" t="e">
        <f t="shared" si="12"/>
        <v>#N/A</v>
      </c>
      <c r="T30" s="777" t="s">
        <v>17</v>
      </c>
      <c r="U30" s="778" t="e">
        <f t="shared" si="13"/>
        <v>#N/A</v>
      </c>
      <c r="V30" s="777" t="s">
        <v>17</v>
      </c>
      <c r="W30" s="778" t="e">
        <f t="shared" si="14"/>
        <v>#N/A</v>
      </c>
      <c r="X30" s="779"/>
      <c r="Y30" s="3272"/>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2"/>
      <c r="Q31" s="1813" t="str">
        <f t="shared" si="11"/>
        <v>建筑结构</v>
      </c>
      <c r="R31" s="774" t="s">
        <v>17</v>
      </c>
      <c r="S31" s="775">
        <f t="shared" si="12"/>
        <v>100</v>
      </c>
      <c r="T31" s="774" t="s">
        <v>17</v>
      </c>
      <c r="U31" s="775">
        <f t="shared" si="13"/>
        <v>100</v>
      </c>
      <c r="V31" s="774" t="s">
        <v>17</v>
      </c>
      <c r="W31" s="775">
        <f t="shared" si="14"/>
        <v>100</v>
      </c>
      <c r="X31" s="1816"/>
      <c r="Y31" s="3272"/>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2"/>
      <c r="Q32" s="1813" t="str">
        <f t="shared" si="11"/>
        <v>公共部分装修</v>
      </c>
      <c r="R32" s="774" t="s">
        <v>17</v>
      </c>
      <c r="S32" s="775">
        <f t="shared" si="12"/>
        <v>100</v>
      </c>
      <c r="T32" s="774" t="s">
        <v>17</v>
      </c>
      <c r="U32" s="775">
        <f t="shared" si="13"/>
        <v>100</v>
      </c>
      <c r="V32" s="774" t="s">
        <v>17</v>
      </c>
      <c r="W32" s="775">
        <f t="shared" si="14"/>
        <v>100</v>
      </c>
      <c r="X32" s="1816"/>
      <c r="Y32" s="3272"/>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2"/>
      <c r="Q33" s="1813" t="str">
        <f t="shared" si="11"/>
        <v>成新度</v>
      </c>
      <c r="R33" s="774" t="s">
        <v>17</v>
      </c>
      <c r="S33" s="775" t="e">
        <f t="shared" si="12"/>
        <v>#N/A</v>
      </c>
      <c r="T33" s="774" t="s">
        <v>17</v>
      </c>
      <c r="U33" s="775" t="e">
        <f t="shared" si="13"/>
        <v>#N/A</v>
      </c>
      <c r="V33" s="774" t="s">
        <v>17</v>
      </c>
      <c r="W33" s="775" t="e">
        <f t="shared" si="14"/>
        <v>#N/A</v>
      </c>
      <c r="X33" s="1816"/>
      <c r="Y33" s="3272"/>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2"/>
      <c r="Q34" s="1798" t="str">
        <f t="shared" si="11"/>
        <v>物业管理</v>
      </c>
      <c r="R34" s="770" t="s">
        <v>17</v>
      </c>
      <c r="S34" s="771">
        <f t="shared" si="12"/>
        <v>100</v>
      </c>
      <c r="T34" s="770" t="s">
        <v>17</v>
      </c>
      <c r="U34" s="771">
        <f t="shared" si="13"/>
        <v>100</v>
      </c>
      <c r="V34" s="770" t="s">
        <v>17</v>
      </c>
      <c r="W34" s="771">
        <f t="shared" si="14"/>
        <v>100</v>
      </c>
      <c r="X34" s="772"/>
      <c r="Y34" s="327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2" t="s">
        <v>2564</v>
      </c>
      <c r="Q35" s="1813" t="str">
        <f t="shared" si="11"/>
        <v>市政基础设施</v>
      </c>
      <c r="R35" s="774" t="s">
        <v>17</v>
      </c>
      <c r="S35" s="775">
        <f t="shared" si="12"/>
        <v>100</v>
      </c>
      <c r="T35" s="774" t="s">
        <v>17</v>
      </c>
      <c r="U35" s="775">
        <f t="shared" si="13"/>
        <v>100</v>
      </c>
      <c r="V35" s="774" t="s">
        <v>17</v>
      </c>
      <c r="W35" s="775">
        <f t="shared" si="14"/>
        <v>100</v>
      </c>
      <c r="X35" s="1816"/>
      <c r="Y35" s="3272"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2"/>
      <c r="Q36" s="1813" t="str">
        <f t="shared" si="11"/>
        <v>内部装修</v>
      </c>
      <c r="R36" s="774" t="s">
        <v>17</v>
      </c>
      <c r="S36" s="775">
        <f t="shared" si="12"/>
        <v>100</v>
      </c>
      <c r="T36" s="774" t="s">
        <v>17</v>
      </c>
      <c r="U36" s="775">
        <f t="shared" si="13"/>
        <v>100</v>
      </c>
      <c r="V36" s="774" t="s">
        <v>17</v>
      </c>
      <c r="W36" s="775">
        <f t="shared" si="14"/>
        <v>100</v>
      </c>
      <c r="X36" s="1816"/>
      <c r="Y36" s="3272"/>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2"/>
      <c r="Q37" s="1813" t="str">
        <f t="shared" si="11"/>
        <v>内部装修状况</v>
      </c>
      <c r="R37" s="774" t="s">
        <v>17</v>
      </c>
      <c r="S37" s="775">
        <f t="shared" si="12"/>
        <v>100</v>
      </c>
      <c r="T37" s="774" t="s">
        <v>17</v>
      </c>
      <c r="U37" s="775">
        <f t="shared" si="13"/>
        <v>100</v>
      </c>
      <c r="V37" s="774" t="s">
        <v>17</v>
      </c>
      <c r="W37" s="775">
        <f t="shared" si="14"/>
        <v>100</v>
      </c>
      <c r="X37" s="1816"/>
      <c r="Y37" s="32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2"/>
      <c r="Q38" s="776">
        <f t="shared" si="11"/>
        <v>111</v>
      </c>
      <c r="R38" s="777" t="s">
        <v>17</v>
      </c>
      <c r="S38" s="778">
        <f t="shared" si="12"/>
        <v>100</v>
      </c>
      <c r="T38" s="777" t="s">
        <v>17</v>
      </c>
      <c r="U38" s="778">
        <f t="shared" si="13"/>
        <v>100</v>
      </c>
      <c r="V38" s="777" t="s">
        <v>17</v>
      </c>
      <c r="W38" s="778">
        <f t="shared" si="14"/>
        <v>100</v>
      </c>
      <c r="X38" s="779"/>
      <c r="Y38" s="32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2"/>
      <c r="Q39" s="1813">
        <f t="shared" si="11"/>
        <v>111</v>
      </c>
      <c r="R39" s="774" t="s">
        <v>17</v>
      </c>
      <c r="S39" s="775">
        <f t="shared" si="12"/>
        <v>100</v>
      </c>
      <c r="T39" s="774" t="s">
        <v>17</v>
      </c>
      <c r="U39" s="775">
        <f t="shared" si="13"/>
        <v>100</v>
      </c>
      <c r="V39" s="774" t="s">
        <v>17</v>
      </c>
      <c r="W39" s="775">
        <f t="shared" si="14"/>
        <v>100</v>
      </c>
      <c r="X39" s="1816"/>
      <c r="Y39" s="327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3"/>
      <c r="Q40" s="1813">
        <f t="shared" si="11"/>
        <v>111</v>
      </c>
      <c r="R40" s="774" t="s">
        <v>17</v>
      </c>
      <c r="S40" s="775">
        <f t="shared" si="12"/>
        <v>100</v>
      </c>
      <c r="T40" s="774" t="s">
        <v>17</v>
      </c>
      <c r="U40" s="775">
        <f t="shared" si="13"/>
        <v>100</v>
      </c>
      <c r="V40" s="774" t="s">
        <v>17</v>
      </c>
      <c r="W40" s="775">
        <f t="shared" si="14"/>
        <v>100</v>
      </c>
      <c r="X40" s="1816"/>
      <c r="Y40" s="3273"/>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65" t="str">
        <f>A41</f>
        <v>成交单价（元/平方米）</v>
      </c>
      <c r="Q41" s="3265"/>
      <c r="R41" s="3266">
        <f>E41</f>
        <v>0</v>
      </c>
      <c r="S41" s="3266"/>
      <c r="T41" s="3266">
        <f>G41</f>
        <v>0</v>
      </c>
      <c r="U41" s="3266"/>
      <c r="V41" s="3266">
        <f>I41</f>
        <v>0</v>
      </c>
      <c r="W41" s="3266"/>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01" t="s">
        <v>2548</v>
      </c>
      <c r="Q7" s="3303"/>
      <c r="R7" s="770" t="s">
        <v>17</v>
      </c>
      <c r="S7" s="771">
        <f t="shared" ref="S7:S14" si="0">F7</f>
        <v>0</v>
      </c>
      <c r="T7" s="770" t="s">
        <v>17</v>
      </c>
      <c r="U7" s="771">
        <f t="shared" ref="U7:U14" si="1">H7</f>
        <v>0</v>
      </c>
      <c r="V7" s="770" t="s">
        <v>17</v>
      </c>
      <c r="W7" s="771">
        <f t="shared" ref="W7:W14" si="2">J7</f>
        <v>0</v>
      </c>
      <c r="X7" s="772"/>
      <c r="Y7" s="3301" t="s">
        <v>2548</v>
      </c>
      <c r="Z7" s="3302"/>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5" t="s">
        <v>2554</v>
      </c>
      <c r="Q9" s="1798" t="str">
        <f t="shared" ref="Q9:Q14" si="6">B9</f>
        <v>用途</v>
      </c>
      <c r="R9" s="770" t="s">
        <v>17</v>
      </c>
      <c r="S9" s="771">
        <f t="shared" si="0"/>
        <v>100</v>
      </c>
      <c r="T9" s="770" t="s">
        <v>17</v>
      </c>
      <c r="U9" s="771">
        <f t="shared" si="1"/>
        <v>100</v>
      </c>
      <c r="V9" s="770" t="s">
        <v>17</v>
      </c>
      <c r="W9" s="771">
        <f t="shared" si="2"/>
        <v>100</v>
      </c>
      <c r="X9" s="772"/>
      <c r="Y9" s="307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5"/>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5"/>
      <c r="Q11" s="1798">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7" t="s">
        <v>2559</v>
      </c>
      <c r="Q14" s="1813" t="str">
        <f t="shared" si="6"/>
        <v>交通便捷度</v>
      </c>
      <c r="R14" s="774" t="s">
        <v>17</v>
      </c>
      <c r="S14" s="775">
        <f t="shared" si="0"/>
        <v>100</v>
      </c>
      <c r="T14" s="774" t="s">
        <v>17</v>
      </c>
      <c r="U14" s="775">
        <f t="shared" si="1"/>
        <v>100</v>
      </c>
      <c r="V14" s="774" t="s">
        <v>17</v>
      </c>
      <c r="W14" s="775">
        <f t="shared" si="2"/>
        <v>100</v>
      </c>
      <c r="X14" s="1816"/>
      <c r="Y14" s="3267"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8"/>
      <c r="Q15" s="1813"/>
      <c r="R15" s="774"/>
      <c r="S15" s="775"/>
      <c r="T15" s="774"/>
      <c r="U15" s="775"/>
      <c r="V15" s="774"/>
      <c r="W15" s="775"/>
      <c r="X15" s="1816"/>
      <c r="Y15" s="3268"/>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8"/>
      <c r="Q16" s="1813" t="str">
        <f>B16</f>
        <v>公共配套设施</v>
      </c>
      <c r="R16" s="774" t="s">
        <v>17</v>
      </c>
      <c r="S16" s="775">
        <f>F16</f>
        <v>100</v>
      </c>
      <c r="T16" s="774" t="s">
        <v>17</v>
      </c>
      <c r="U16" s="775">
        <f>H16</f>
        <v>100</v>
      </c>
      <c r="V16" s="774" t="s">
        <v>17</v>
      </c>
      <c r="W16" s="775">
        <f>J16</f>
        <v>100</v>
      </c>
      <c r="X16" s="1816"/>
      <c r="Y16" s="3268"/>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68"/>
      <c r="Q17" s="1813"/>
      <c r="R17" s="774"/>
      <c r="S17" s="775"/>
      <c r="T17" s="774"/>
      <c r="U17" s="775"/>
      <c r="V17" s="774"/>
      <c r="W17" s="775"/>
      <c r="X17" s="1816"/>
      <c r="Y17" s="3268"/>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8"/>
      <c r="Q18" s="1813" t="str">
        <f>B18</f>
        <v>基础设施水平</v>
      </c>
      <c r="R18" s="774" t="s">
        <v>17</v>
      </c>
      <c r="S18" s="775">
        <f>F18</f>
        <v>100</v>
      </c>
      <c r="T18" s="774" t="s">
        <v>17</v>
      </c>
      <c r="U18" s="775">
        <f>H18</f>
        <v>100</v>
      </c>
      <c r="V18" s="774" t="s">
        <v>17</v>
      </c>
      <c r="W18" s="775">
        <f>J18</f>
        <v>100</v>
      </c>
      <c r="X18" s="1816"/>
      <c r="Y18" s="3268"/>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68"/>
      <c r="Q19" s="1813"/>
      <c r="R19" s="774"/>
      <c r="S19" s="775"/>
      <c r="T19" s="774"/>
      <c r="U19" s="775"/>
      <c r="V19" s="774"/>
      <c r="W19" s="775"/>
      <c r="X19" s="1816"/>
      <c r="Y19" s="3268"/>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8"/>
      <c r="Q20" s="1813" t="str">
        <f>B20</f>
        <v>自然及人文环境</v>
      </c>
      <c r="R20" s="774" t="s">
        <v>17</v>
      </c>
      <c r="S20" s="775">
        <f>F20</f>
        <v>100</v>
      </c>
      <c r="T20" s="774" t="s">
        <v>17</v>
      </c>
      <c r="U20" s="775">
        <f>H20</f>
        <v>100</v>
      </c>
      <c r="V20" s="774" t="s">
        <v>17</v>
      </c>
      <c r="W20" s="775">
        <f>J20</f>
        <v>100</v>
      </c>
      <c r="X20" s="1816"/>
      <c r="Y20" s="32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8"/>
      <c r="Q21" s="1813"/>
      <c r="R21" s="774"/>
      <c r="S21" s="775"/>
      <c r="T21" s="774"/>
      <c r="U21" s="775"/>
      <c r="V21" s="774"/>
      <c r="W21" s="775"/>
      <c r="X21" s="1816"/>
      <c r="Y21" s="3268"/>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8"/>
      <c r="Q22" s="1813" t="str">
        <f>B22</f>
        <v>楼层</v>
      </c>
      <c r="R22" s="774" t="s">
        <v>17</v>
      </c>
      <c r="S22" s="775">
        <f>F22</f>
        <v>100</v>
      </c>
      <c r="T22" s="774" t="s">
        <v>17</v>
      </c>
      <c r="U22" s="775">
        <f>H22</f>
        <v>100</v>
      </c>
      <c r="V22" s="774" t="s">
        <v>17</v>
      </c>
      <c r="W22" s="775">
        <f>J22</f>
        <v>100</v>
      </c>
      <c r="X22" s="1816"/>
      <c r="Y22" s="32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8"/>
      <c r="Q23" s="1813">
        <f>B23</f>
        <v>111</v>
      </c>
      <c r="R23" s="774" t="s">
        <v>17</v>
      </c>
      <c r="S23" s="775">
        <f>F23</f>
        <v>100</v>
      </c>
      <c r="T23" s="774" t="s">
        <v>17</v>
      </c>
      <c r="U23" s="775">
        <f>H23</f>
        <v>100</v>
      </c>
      <c r="V23" s="774" t="s">
        <v>17</v>
      </c>
      <c r="W23" s="775">
        <f>J23</f>
        <v>100</v>
      </c>
      <c r="X23" s="1816"/>
      <c r="Y23" s="32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8"/>
      <c r="Q24" s="1813">
        <f t="shared" ref="Q24:Q36" si="11">B24</f>
        <v>111</v>
      </c>
      <c r="R24" s="774" t="s">
        <v>17</v>
      </c>
      <c r="S24" s="775">
        <f>F24</f>
        <v>100</v>
      </c>
      <c r="T24" s="774" t="s">
        <v>17</v>
      </c>
      <c r="U24" s="775">
        <f>H24</f>
        <v>100</v>
      </c>
      <c r="V24" s="774" t="s">
        <v>17</v>
      </c>
      <c r="W24" s="775">
        <f>J24</f>
        <v>100</v>
      </c>
      <c r="X24" s="1816"/>
      <c r="Y24" s="32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8"/>
      <c r="Q25" s="1798">
        <f t="shared" si="11"/>
        <v>111</v>
      </c>
      <c r="R25" s="770" t="s">
        <v>17</v>
      </c>
      <c r="S25" s="771">
        <f>F25</f>
        <v>100</v>
      </c>
      <c r="T25" s="770" t="s">
        <v>17</v>
      </c>
      <c r="U25" s="771">
        <f>H25</f>
        <v>100</v>
      </c>
      <c r="V25" s="770" t="s">
        <v>17</v>
      </c>
      <c r="W25" s="771">
        <f>J25</f>
        <v>100</v>
      </c>
      <c r="X25" s="772"/>
      <c r="Y25" s="3268"/>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3"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2"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2"/>
      <c r="Q27" s="776" t="str">
        <f t="shared" si="11"/>
        <v>项目停车位配比</v>
      </c>
      <c r="R27" s="777" t="s">
        <v>17</v>
      </c>
      <c r="S27" s="778">
        <f t="shared" si="12"/>
        <v>100</v>
      </c>
      <c r="T27" s="777" t="s">
        <v>17</v>
      </c>
      <c r="U27" s="778">
        <f t="shared" si="13"/>
        <v>100</v>
      </c>
      <c r="V27" s="777" t="s">
        <v>17</v>
      </c>
      <c r="W27" s="778">
        <f t="shared" si="14"/>
        <v>100</v>
      </c>
      <c r="X27" s="779"/>
      <c r="Y27" s="3272"/>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2"/>
      <c r="Q28" s="1813" t="str">
        <f t="shared" si="11"/>
        <v>公共部分装修</v>
      </c>
      <c r="R28" s="774" t="s">
        <v>17</v>
      </c>
      <c r="S28" s="775">
        <f t="shared" si="12"/>
        <v>100</v>
      </c>
      <c r="T28" s="774" t="s">
        <v>17</v>
      </c>
      <c r="U28" s="775">
        <f t="shared" si="13"/>
        <v>100</v>
      </c>
      <c r="V28" s="774" t="s">
        <v>17</v>
      </c>
      <c r="W28" s="775">
        <f t="shared" si="14"/>
        <v>100</v>
      </c>
      <c r="X28" s="1816"/>
      <c r="Y28" s="3272"/>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2"/>
      <c r="Q29" s="1813" t="str">
        <f t="shared" si="11"/>
        <v>成新率</v>
      </c>
      <c r="R29" s="774" t="s">
        <v>17</v>
      </c>
      <c r="S29" s="775" t="e">
        <f t="shared" si="12"/>
        <v>#N/A</v>
      </c>
      <c r="T29" s="774" t="s">
        <v>17</v>
      </c>
      <c r="U29" s="775" t="e">
        <f t="shared" si="13"/>
        <v>#N/A</v>
      </c>
      <c r="V29" s="774" t="s">
        <v>17</v>
      </c>
      <c r="W29" s="775" t="e">
        <f t="shared" si="14"/>
        <v>#N/A</v>
      </c>
      <c r="X29" s="1816"/>
      <c r="Y29" s="3272"/>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2"/>
      <c r="Q30" s="1813" t="str">
        <f t="shared" si="11"/>
        <v>物业等级</v>
      </c>
      <c r="R30" s="774" t="s">
        <v>17</v>
      </c>
      <c r="S30" s="775">
        <f t="shared" si="12"/>
        <v>100</v>
      </c>
      <c r="T30" s="774" t="s">
        <v>17</v>
      </c>
      <c r="U30" s="775">
        <f t="shared" si="13"/>
        <v>100</v>
      </c>
      <c r="V30" s="774" t="s">
        <v>17</v>
      </c>
      <c r="W30" s="775">
        <f t="shared" si="14"/>
        <v>100</v>
      </c>
      <c r="X30" s="1816"/>
      <c r="Y30" s="3272"/>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2"/>
      <c r="Q31" s="1798" t="str">
        <f t="shared" si="11"/>
        <v>停车位面积</v>
      </c>
      <c r="R31" s="770" t="s">
        <v>17</v>
      </c>
      <c r="S31" s="771" t="e">
        <f t="shared" si="12"/>
        <v>#N/A</v>
      </c>
      <c r="T31" s="770" t="s">
        <v>17</v>
      </c>
      <c r="U31" s="771" t="e">
        <f t="shared" si="13"/>
        <v>#N/A</v>
      </c>
      <c r="V31" s="770" t="s">
        <v>17</v>
      </c>
      <c r="W31" s="771" t="e">
        <f t="shared" si="14"/>
        <v>#N/A</v>
      </c>
      <c r="X31" s="772"/>
      <c r="Y31" s="327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2" t="s">
        <v>2564</v>
      </c>
      <c r="Q32" s="1813" t="str">
        <f t="shared" si="11"/>
        <v>车位类型</v>
      </c>
      <c r="R32" s="774" t="s">
        <v>17</v>
      </c>
      <c r="S32" s="775">
        <f t="shared" si="12"/>
        <v>100</v>
      </c>
      <c r="T32" s="774" t="s">
        <v>17</v>
      </c>
      <c r="U32" s="775">
        <f t="shared" si="13"/>
        <v>100</v>
      </c>
      <c r="V32" s="774" t="s">
        <v>17</v>
      </c>
      <c r="W32" s="775">
        <f t="shared" si="14"/>
        <v>100</v>
      </c>
      <c r="X32" s="1816"/>
      <c r="Y32" s="3272"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2"/>
      <c r="Q33" s="1813" t="str">
        <f t="shared" si="11"/>
        <v>是否直接入户</v>
      </c>
      <c r="R33" s="774" t="s">
        <v>17</v>
      </c>
      <c r="S33" s="775">
        <f t="shared" si="12"/>
        <v>100</v>
      </c>
      <c r="T33" s="774" t="s">
        <v>17</v>
      </c>
      <c r="U33" s="775">
        <f t="shared" si="13"/>
        <v>100</v>
      </c>
      <c r="V33" s="774" t="s">
        <v>17</v>
      </c>
      <c r="W33" s="775">
        <f t="shared" si="14"/>
        <v>100</v>
      </c>
      <c r="X33" s="1816"/>
      <c r="Y33" s="32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2"/>
      <c r="Q34" s="1813">
        <f t="shared" si="11"/>
        <v>111</v>
      </c>
      <c r="R34" s="774" t="s">
        <v>17</v>
      </c>
      <c r="S34" s="775">
        <f t="shared" si="12"/>
        <v>100</v>
      </c>
      <c r="T34" s="774" t="s">
        <v>17</v>
      </c>
      <c r="U34" s="775">
        <f t="shared" si="13"/>
        <v>100</v>
      </c>
      <c r="V34" s="774" t="s">
        <v>17</v>
      </c>
      <c r="W34" s="775">
        <f t="shared" si="14"/>
        <v>100</v>
      </c>
      <c r="X34" s="1816"/>
      <c r="Y34" s="32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2"/>
      <c r="Q35" s="776">
        <f t="shared" si="11"/>
        <v>111</v>
      </c>
      <c r="R35" s="777" t="s">
        <v>17</v>
      </c>
      <c r="S35" s="778">
        <f t="shared" si="12"/>
        <v>100</v>
      </c>
      <c r="T35" s="777" t="s">
        <v>17</v>
      </c>
      <c r="U35" s="778">
        <f t="shared" si="13"/>
        <v>100</v>
      </c>
      <c r="V35" s="777" t="s">
        <v>17</v>
      </c>
      <c r="W35" s="778">
        <f t="shared" si="14"/>
        <v>100</v>
      </c>
      <c r="X35" s="779"/>
      <c r="Y35" s="32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2"/>
      <c r="Q36" s="1813">
        <f t="shared" si="11"/>
        <v>111</v>
      </c>
      <c r="R36" s="774" t="s">
        <v>17</v>
      </c>
      <c r="S36" s="775">
        <f t="shared" si="12"/>
        <v>100</v>
      </c>
      <c r="T36" s="774" t="s">
        <v>17</v>
      </c>
      <c r="U36" s="775">
        <f t="shared" si="13"/>
        <v>100</v>
      </c>
      <c r="V36" s="774" t="s">
        <v>17</v>
      </c>
      <c r="W36" s="775">
        <f t="shared" si="14"/>
        <v>100</v>
      </c>
      <c r="X36" s="1816"/>
      <c r="Y36" s="3272"/>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65" t="str">
        <f>A37</f>
        <v>成交单价</v>
      </c>
      <c r="Q37" s="3265"/>
      <c r="R37" s="3266">
        <f>E37</f>
        <v>0</v>
      </c>
      <c r="S37" s="3266"/>
      <c r="T37" s="3266">
        <f>G37</f>
        <v>0</v>
      </c>
      <c r="U37" s="3266"/>
      <c r="V37" s="3266">
        <f>I37</f>
        <v>0</v>
      </c>
      <c r="W37" s="3266"/>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297" t="s">
        <v>2545</v>
      </c>
      <c r="D6" s="3298"/>
      <c r="E6" s="3304" t="s">
        <v>2545</v>
      </c>
      <c r="F6" s="3305"/>
      <c r="G6" s="3297" t="s">
        <v>2545</v>
      </c>
      <c r="H6" s="3298"/>
      <c r="I6" s="3297" t="s">
        <v>2545</v>
      </c>
      <c r="J6" s="3298"/>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301" t="s">
        <v>2548</v>
      </c>
      <c r="Q7" s="3303"/>
      <c r="R7" s="770" t="s">
        <v>17</v>
      </c>
      <c r="S7" s="771">
        <f t="shared" ref="S7:S14" si="0">F7</f>
        <v>0</v>
      </c>
      <c r="T7" s="770" t="s">
        <v>17</v>
      </c>
      <c r="U7" s="771">
        <f t="shared" ref="U7:U14" si="1">H7</f>
        <v>0</v>
      </c>
      <c r="V7" s="770" t="s">
        <v>17</v>
      </c>
      <c r="W7" s="771">
        <f t="shared" ref="W7:W14" si="2">J7</f>
        <v>0</v>
      </c>
      <c r="X7" s="772"/>
      <c r="Y7" s="3301" t="s">
        <v>2548</v>
      </c>
      <c r="Z7" s="3302"/>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5" t="s">
        <v>2554</v>
      </c>
      <c r="Q9" s="1798" t="str">
        <f t="shared" ref="Q9:Q14" si="6">B9</f>
        <v>用途</v>
      </c>
      <c r="R9" s="770" t="s">
        <v>17</v>
      </c>
      <c r="S9" s="771">
        <f t="shared" si="0"/>
        <v>100</v>
      </c>
      <c r="T9" s="770" t="s">
        <v>17</v>
      </c>
      <c r="U9" s="771">
        <f t="shared" si="1"/>
        <v>100</v>
      </c>
      <c r="V9" s="770" t="s">
        <v>17</v>
      </c>
      <c r="W9" s="771">
        <f t="shared" si="2"/>
        <v>100</v>
      </c>
      <c r="X9" s="772"/>
      <c r="Y9" s="307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5"/>
      <c r="Q10" s="1798" t="str">
        <f t="shared" si="6"/>
        <v>土地使用年限（年）</v>
      </c>
      <c r="R10" s="770" t="s">
        <v>17</v>
      </c>
      <c r="S10" s="771">
        <f t="shared" si="0"/>
        <v>100</v>
      </c>
      <c r="T10" s="770" t="s">
        <v>17</v>
      </c>
      <c r="U10" s="771">
        <f t="shared" si="1"/>
        <v>100</v>
      </c>
      <c r="V10" s="770" t="s">
        <v>17</v>
      </c>
      <c r="W10" s="771">
        <f t="shared" si="2"/>
        <v>100</v>
      </c>
      <c r="X10" s="772"/>
      <c r="Y10" s="3079"/>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5"/>
      <c r="Q11" s="1798">
        <f t="shared" si="6"/>
        <v>111</v>
      </c>
      <c r="R11" s="770" t="s">
        <v>17</v>
      </c>
      <c r="S11" s="771">
        <f t="shared" si="0"/>
        <v>100</v>
      </c>
      <c r="T11" s="770" t="s">
        <v>17</v>
      </c>
      <c r="U11" s="771">
        <f t="shared" si="1"/>
        <v>100</v>
      </c>
      <c r="V11" s="770" t="s">
        <v>17</v>
      </c>
      <c r="W11" s="771">
        <f t="shared" si="2"/>
        <v>100</v>
      </c>
      <c r="X11" s="772"/>
      <c r="Y11" s="3079"/>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7" t="s">
        <v>2559</v>
      </c>
      <c r="Q14" s="1813" t="str">
        <f t="shared" si="6"/>
        <v>交通便捷度</v>
      </c>
      <c r="R14" s="774" t="s">
        <v>17</v>
      </c>
      <c r="S14" s="775">
        <f t="shared" si="0"/>
        <v>100</v>
      </c>
      <c r="T14" s="774" t="s">
        <v>17</v>
      </c>
      <c r="U14" s="775">
        <f t="shared" si="1"/>
        <v>100</v>
      </c>
      <c r="V14" s="774" t="s">
        <v>17</v>
      </c>
      <c r="W14" s="775">
        <f t="shared" si="2"/>
        <v>100</v>
      </c>
      <c r="X14" s="1816"/>
      <c r="Y14" s="3267"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8"/>
      <c r="Q15" s="1813"/>
      <c r="R15" s="774"/>
      <c r="S15" s="775"/>
      <c r="T15" s="774"/>
      <c r="U15" s="775"/>
      <c r="V15" s="774"/>
      <c r="W15" s="775"/>
      <c r="X15" s="1816"/>
      <c r="Y15" s="3268"/>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8"/>
      <c r="Q16" s="1813" t="str">
        <f>B16</f>
        <v>公共配套设施</v>
      </c>
      <c r="R16" s="774" t="s">
        <v>17</v>
      </c>
      <c r="S16" s="775">
        <f>F16</f>
        <v>100</v>
      </c>
      <c r="T16" s="774" t="s">
        <v>17</v>
      </c>
      <c r="U16" s="775">
        <f>H16</f>
        <v>100</v>
      </c>
      <c r="V16" s="774" t="s">
        <v>17</v>
      </c>
      <c r="W16" s="775">
        <f>J16</f>
        <v>100</v>
      </c>
      <c r="X16" s="1816"/>
      <c r="Y16" s="3268"/>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68"/>
      <c r="Q17" s="1813"/>
      <c r="R17" s="774"/>
      <c r="S17" s="775"/>
      <c r="T17" s="774"/>
      <c r="U17" s="775"/>
      <c r="V17" s="774"/>
      <c r="W17" s="775"/>
      <c r="X17" s="1816"/>
      <c r="Y17" s="3268"/>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8"/>
      <c r="Q18" s="1813" t="str">
        <f>B18</f>
        <v>基础设施水平</v>
      </c>
      <c r="R18" s="774" t="s">
        <v>17</v>
      </c>
      <c r="S18" s="775">
        <f>F18</f>
        <v>100</v>
      </c>
      <c r="T18" s="774" t="s">
        <v>17</v>
      </c>
      <c r="U18" s="775">
        <f>H18</f>
        <v>100</v>
      </c>
      <c r="V18" s="774" t="s">
        <v>17</v>
      </c>
      <c r="W18" s="775">
        <f>J18</f>
        <v>100</v>
      </c>
      <c r="X18" s="1816"/>
      <c r="Y18" s="3268"/>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68"/>
      <c r="Q19" s="1813"/>
      <c r="R19" s="774"/>
      <c r="S19" s="775"/>
      <c r="T19" s="774"/>
      <c r="U19" s="775"/>
      <c r="V19" s="774"/>
      <c r="W19" s="775"/>
      <c r="X19" s="1816"/>
      <c r="Y19" s="3268"/>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8"/>
      <c r="Q20" s="1813" t="str">
        <f>B20</f>
        <v>自然及人文环境</v>
      </c>
      <c r="R20" s="774" t="s">
        <v>17</v>
      </c>
      <c r="S20" s="775">
        <f>F20</f>
        <v>100</v>
      </c>
      <c r="T20" s="774" t="s">
        <v>17</v>
      </c>
      <c r="U20" s="775">
        <f>H20</f>
        <v>100</v>
      </c>
      <c r="V20" s="774" t="s">
        <v>17</v>
      </c>
      <c r="W20" s="775">
        <f>J20</f>
        <v>100</v>
      </c>
      <c r="X20" s="1816"/>
      <c r="Y20" s="32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8"/>
      <c r="Q21" s="1813"/>
      <c r="R21" s="774"/>
      <c r="S21" s="775"/>
      <c r="T21" s="774"/>
      <c r="U21" s="775"/>
      <c r="V21" s="774"/>
      <c r="W21" s="775"/>
      <c r="X21" s="1816"/>
      <c r="Y21" s="3268"/>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8"/>
      <c r="Q22" s="1813" t="str">
        <f>B22</f>
        <v>楼层</v>
      </c>
      <c r="R22" s="774" t="s">
        <v>17</v>
      </c>
      <c r="S22" s="775">
        <f>F22</f>
        <v>100</v>
      </c>
      <c r="T22" s="774" t="s">
        <v>17</v>
      </c>
      <c r="U22" s="775">
        <f>H22</f>
        <v>100</v>
      </c>
      <c r="V22" s="774" t="s">
        <v>17</v>
      </c>
      <c r="W22" s="775">
        <f>J22</f>
        <v>100</v>
      </c>
      <c r="X22" s="1816"/>
      <c r="Y22" s="3268"/>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8"/>
      <c r="Q23" s="1813">
        <f>B23</f>
        <v>111</v>
      </c>
      <c r="R23" s="774" t="s">
        <v>17</v>
      </c>
      <c r="S23" s="775">
        <f>F23</f>
        <v>100</v>
      </c>
      <c r="T23" s="774" t="s">
        <v>17</v>
      </c>
      <c r="U23" s="775">
        <f>H23</f>
        <v>100</v>
      </c>
      <c r="V23" s="774" t="s">
        <v>17</v>
      </c>
      <c r="W23" s="775">
        <f>J23</f>
        <v>100</v>
      </c>
      <c r="X23" s="1816"/>
      <c r="Y23" s="3268"/>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8"/>
      <c r="Q24" s="1813">
        <f t="shared" ref="Q24:Q34" si="11">B24</f>
        <v>111</v>
      </c>
      <c r="R24" s="774" t="s">
        <v>17</v>
      </c>
      <c r="S24" s="775">
        <f>F24</f>
        <v>100</v>
      </c>
      <c r="T24" s="774" t="s">
        <v>17</v>
      </c>
      <c r="U24" s="775">
        <f>H24</f>
        <v>100</v>
      </c>
      <c r="V24" s="774" t="s">
        <v>17</v>
      </c>
      <c r="W24" s="775">
        <f>J24</f>
        <v>100</v>
      </c>
      <c r="X24" s="1816"/>
      <c r="Y24" s="3268"/>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8"/>
      <c r="Q25" s="1798">
        <f t="shared" si="11"/>
        <v>111</v>
      </c>
      <c r="R25" s="770" t="s">
        <v>17</v>
      </c>
      <c r="S25" s="771">
        <f>F25</f>
        <v>100</v>
      </c>
      <c r="T25" s="770" t="s">
        <v>17</v>
      </c>
      <c r="U25" s="771">
        <f>H25</f>
        <v>100</v>
      </c>
      <c r="V25" s="770" t="s">
        <v>17</v>
      </c>
      <c r="W25" s="771">
        <f>J25</f>
        <v>100</v>
      </c>
      <c r="X25" s="772"/>
      <c r="Y25" s="3268"/>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3"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2"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2"/>
      <c r="Q27" s="776" t="str">
        <f t="shared" si="11"/>
        <v>成新率</v>
      </c>
      <c r="R27" s="777" t="s">
        <v>17</v>
      </c>
      <c r="S27" s="778" t="e">
        <f t="shared" si="12"/>
        <v>#N/A</v>
      </c>
      <c r="T27" s="777" t="s">
        <v>17</v>
      </c>
      <c r="U27" s="778" t="e">
        <f t="shared" si="13"/>
        <v>#N/A</v>
      </c>
      <c r="V27" s="777" t="s">
        <v>17</v>
      </c>
      <c r="W27" s="778" t="e">
        <f t="shared" si="14"/>
        <v>#N/A</v>
      </c>
      <c r="X27" s="779"/>
      <c r="Y27" s="3272"/>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2"/>
      <c r="Q28" s="1813" t="str">
        <f t="shared" si="11"/>
        <v>物业等级</v>
      </c>
      <c r="R28" s="774" t="s">
        <v>17</v>
      </c>
      <c r="S28" s="775">
        <f t="shared" si="12"/>
        <v>100</v>
      </c>
      <c r="T28" s="774" t="s">
        <v>17</v>
      </c>
      <c r="U28" s="775">
        <f t="shared" si="13"/>
        <v>100</v>
      </c>
      <c r="V28" s="774" t="s">
        <v>17</v>
      </c>
      <c r="W28" s="775">
        <f t="shared" si="14"/>
        <v>100</v>
      </c>
      <c r="X28" s="1816"/>
      <c r="Y28" s="3272"/>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2"/>
      <c r="Q29" s="1813" t="str">
        <f t="shared" si="11"/>
        <v>有无电梯</v>
      </c>
      <c r="R29" s="774" t="s">
        <v>17</v>
      </c>
      <c r="S29" s="775">
        <f t="shared" si="12"/>
        <v>100</v>
      </c>
      <c r="T29" s="774" t="s">
        <v>17</v>
      </c>
      <c r="U29" s="775">
        <f t="shared" si="13"/>
        <v>100</v>
      </c>
      <c r="V29" s="774" t="s">
        <v>17</v>
      </c>
      <c r="W29" s="775">
        <f t="shared" si="14"/>
        <v>100</v>
      </c>
      <c r="X29" s="1816"/>
      <c r="Y29" s="3272"/>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2"/>
      <c r="Q30" s="1813" t="str">
        <f t="shared" si="11"/>
        <v>建筑面积</v>
      </c>
      <c r="R30" s="774" t="s">
        <v>17</v>
      </c>
      <c r="S30" s="775" t="e">
        <f t="shared" si="12"/>
        <v>#N/A</v>
      </c>
      <c r="T30" s="774" t="s">
        <v>17</v>
      </c>
      <c r="U30" s="775" t="e">
        <f t="shared" si="13"/>
        <v>#N/A</v>
      </c>
      <c r="V30" s="774" t="s">
        <v>17</v>
      </c>
      <c r="W30" s="775" t="e">
        <f t="shared" si="14"/>
        <v>#N/A</v>
      </c>
      <c r="X30" s="1816"/>
      <c r="Y30" s="3272"/>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2"/>
      <c r="Q31" s="1798" t="str">
        <f t="shared" si="11"/>
        <v>是否封闭</v>
      </c>
      <c r="R31" s="770" t="s">
        <v>17</v>
      </c>
      <c r="S31" s="771">
        <f t="shared" si="12"/>
        <v>100</v>
      </c>
      <c r="T31" s="770" t="s">
        <v>17</v>
      </c>
      <c r="U31" s="771">
        <f t="shared" si="13"/>
        <v>100</v>
      </c>
      <c r="V31" s="770" t="s">
        <v>17</v>
      </c>
      <c r="W31" s="771">
        <f t="shared" si="14"/>
        <v>100</v>
      </c>
      <c r="X31" s="772"/>
      <c r="Y31" s="327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2" t="s">
        <v>2564</v>
      </c>
      <c r="Q32" s="1813">
        <f t="shared" si="11"/>
        <v>111</v>
      </c>
      <c r="R32" s="774" t="s">
        <v>17</v>
      </c>
      <c r="S32" s="775">
        <f t="shared" si="12"/>
        <v>100</v>
      </c>
      <c r="T32" s="774" t="s">
        <v>17</v>
      </c>
      <c r="U32" s="775">
        <f t="shared" si="13"/>
        <v>100</v>
      </c>
      <c r="V32" s="774" t="s">
        <v>17</v>
      </c>
      <c r="W32" s="775">
        <f t="shared" si="14"/>
        <v>100</v>
      </c>
      <c r="X32" s="1816"/>
      <c r="Y32" s="3272"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2"/>
      <c r="Q33" s="1813">
        <f t="shared" si="11"/>
        <v>111</v>
      </c>
      <c r="R33" s="774" t="s">
        <v>17</v>
      </c>
      <c r="S33" s="775">
        <f t="shared" si="12"/>
        <v>100</v>
      </c>
      <c r="T33" s="774" t="s">
        <v>17</v>
      </c>
      <c r="U33" s="775">
        <f t="shared" si="13"/>
        <v>100</v>
      </c>
      <c r="V33" s="774" t="s">
        <v>17</v>
      </c>
      <c r="W33" s="775">
        <f t="shared" si="14"/>
        <v>100</v>
      </c>
      <c r="X33" s="1816"/>
      <c r="Y33" s="327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72"/>
      <c r="Q34" s="1813">
        <f t="shared" si="11"/>
        <v>111</v>
      </c>
      <c r="R34" s="774" t="s">
        <v>17</v>
      </c>
      <c r="S34" s="775">
        <f t="shared" si="12"/>
        <v>100</v>
      </c>
      <c r="T34" s="774" t="s">
        <v>17</v>
      </c>
      <c r="U34" s="775">
        <f t="shared" si="13"/>
        <v>100</v>
      </c>
      <c r="V34" s="774" t="s">
        <v>17</v>
      </c>
      <c r="W34" s="775">
        <f t="shared" si="14"/>
        <v>100</v>
      </c>
      <c r="X34" s="1816"/>
      <c r="Y34" s="3272"/>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65" t="str">
        <f>A35</f>
        <v>成交单价（元/平方米）</v>
      </c>
      <c r="Q35" s="3265"/>
      <c r="R35" s="3266">
        <f>E35</f>
        <v>0</v>
      </c>
      <c r="S35" s="3266"/>
      <c r="T35" s="3266">
        <f>G35</f>
        <v>0</v>
      </c>
      <c r="U35" s="3266"/>
      <c r="V35" s="3266">
        <f>I35</f>
        <v>0</v>
      </c>
      <c r="W35" s="3266"/>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8" t="s">
        <v>1399</v>
      </c>
      <c r="C6" s="1299" t="e">
        <f ca="1">ROUND(F6*F8*F7*(1-F9)/10000,0)</f>
        <v>#N/A</v>
      </c>
      <c r="D6" s="164" t="s">
        <v>3032</v>
      </c>
      <c r="E6" s="347" t="s">
        <v>1401</v>
      </c>
      <c r="F6" s="348" t="e">
        <f ca="1">INDIRECT("'数据-取费表'!u"&amp;$G$1)</f>
        <v>#N/A</v>
      </c>
      <c r="G6" s="1854"/>
      <c r="H6" s="1294" t="s">
        <v>1032</v>
      </c>
      <c r="I6" s="3238" t="s">
        <v>1399</v>
      </c>
      <c r="J6" s="346" t="e">
        <f ca="1">ROUND(M6*M8*M7*(1-M9)/10000,0)</f>
        <v>#N/A</v>
      </c>
      <c r="K6" s="164" t="s">
        <v>3031</v>
      </c>
      <c r="L6" s="347" t="s">
        <v>1401</v>
      </c>
      <c r="M6" s="348" t="e">
        <f ca="1">INDIRECT("'数据-取费表'!z"&amp;$G$1)</f>
        <v>#N/A</v>
      </c>
    </row>
    <row r="7" spans="1:37" ht="18" customHeight="1">
      <c r="A7" s="1298"/>
      <c r="B7" s="3239"/>
      <c r="C7" s="1300"/>
      <c r="D7" s="352"/>
      <c r="E7" s="2976" t="s">
        <v>1402</v>
      </c>
      <c r="F7" s="348" t="e">
        <f ca="1">IF(INDIRECT("'数据-取费表'!ah"&amp;$G$1)="",INDIRECT("'数据-取费表'!k"&amp;$G$1),INDIRECT("'数据-取费表'!ah"&amp;$G$1))</f>
        <v>#N/A</v>
      </c>
      <c r="G7" s="1854"/>
      <c r="H7" s="349"/>
      <c r="I7" s="3239"/>
      <c r="J7" s="351"/>
      <c r="K7" s="352"/>
      <c r="L7" s="347" t="s">
        <v>1402</v>
      </c>
      <c r="M7" s="348" t="e">
        <f ca="1">F7</f>
        <v>#N/A</v>
      </c>
    </row>
    <row r="8" spans="1:37" ht="18" customHeight="1">
      <c r="A8" s="349"/>
      <c r="B8" s="3239"/>
      <c r="C8" s="351"/>
      <c r="D8" s="352"/>
      <c r="E8" s="347" t="s">
        <v>1403</v>
      </c>
      <c r="F8" s="348" t="e">
        <f ca="1">INDIRECT("'数据-取费表'!ai"&amp;$G$1)</f>
        <v>#N/A</v>
      </c>
      <c r="G8" s="1854"/>
      <c r="H8" s="349"/>
      <c r="I8" s="3239"/>
      <c r="J8" s="351"/>
      <c r="K8" s="352"/>
      <c r="L8" s="347" t="s">
        <v>1403</v>
      </c>
      <c r="M8" s="348" t="e">
        <f ca="1">INDIRECT("'数据-取费表'!ai"&amp;$G$1)</f>
        <v>#N/A</v>
      </c>
    </row>
    <row r="9" spans="1:37" ht="18" customHeight="1">
      <c r="A9" s="349"/>
      <c r="B9" s="3240"/>
      <c r="C9" s="351"/>
      <c r="D9" s="352"/>
      <c r="E9" s="347" t="s">
        <v>1404</v>
      </c>
      <c r="F9" s="357" t="e">
        <f ca="1">INDIRECT("'数据-取费表'!w"&amp;$G$1)</f>
        <v>#N/A</v>
      </c>
      <c r="G9" s="1854"/>
      <c r="H9" s="349"/>
      <c r="I9" s="3240"/>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0.03</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0.02</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6" t="s">
        <v>1544</v>
      </c>
      <c r="L53" s="3237"/>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19550</v>
      </c>
      <c r="C2" s="2571" t="s">
        <v>2518</v>
      </c>
      <c r="D2" s="2572" t="s">
        <v>2519</v>
      </c>
      <c r="E2" s="2573">
        <f>SUM(E6:E13)</f>
        <v>20447.539999999997</v>
      </c>
    </row>
    <row r="3" spans="1:6" ht="15.75">
      <c r="A3" s="2569" t="s">
        <v>1391</v>
      </c>
      <c r="B3" s="2570">
        <f ca="1">ROUND(B2*10000/E2,0)</f>
        <v>9561</v>
      </c>
      <c r="C3" s="2571" t="s">
        <v>2526</v>
      </c>
      <c r="D3" s="2574"/>
      <c r="E3" s="2575"/>
    </row>
    <row r="4" spans="1:6" ht="15.75">
      <c r="A4" s="2576"/>
      <c r="B4" s="2574"/>
      <c r="C4" s="2574"/>
      <c r="D4" s="2574"/>
      <c r="E4" s="2575"/>
    </row>
    <row r="5" spans="1:6" ht="15">
      <c r="A5" s="2577" t="s">
        <v>2520</v>
      </c>
      <c r="B5" s="3324" t="s">
        <v>2521</v>
      </c>
      <c r="C5" s="3324"/>
      <c r="D5" s="2578"/>
      <c r="E5" s="2579" t="s">
        <v>2522</v>
      </c>
      <c r="F5" s="2580" t="s">
        <v>2523</v>
      </c>
    </row>
    <row r="6" spans="1:6">
      <c r="A6" s="2581" t="str">
        <f>'数据-取费表'!AN6</f>
        <v>收益法</v>
      </c>
      <c r="B6" s="2580">
        <f ca="1">IF(F6="是",'数据-取费表'!AO6,0)</f>
        <v>19550</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43"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30" ht="15">
      <c r="A5" s="404"/>
      <c r="B5" s="405"/>
      <c r="C5" s="3299" t="s">
        <v>3348</v>
      </c>
      <c r="D5" s="3300"/>
      <c r="E5" s="3306" t="s">
        <v>3361</v>
      </c>
      <c r="F5" s="3307"/>
      <c r="G5" s="3299" t="s">
        <v>3324</v>
      </c>
      <c r="H5" s="3300"/>
      <c r="I5" s="3299" t="s">
        <v>3328</v>
      </c>
      <c r="J5" s="3300"/>
      <c r="K5" s="610"/>
      <c r="L5" s="1133"/>
      <c r="M5" s="1134"/>
      <c r="N5" s="1134"/>
      <c r="O5" s="1134"/>
      <c r="P5" s="3286"/>
      <c r="Q5" s="3287"/>
      <c r="R5" s="3292"/>
      <c r="S5" s="3293"/>
      <c r="T5" s="3292"/>
      <c r="U5" s="3293"/>
      <c r="V5" s="3296"/>
      <c r="W5" s="3296"/>
      <c r="X5" s="1816"/>
      <c r="Y5" s="3292"/>
      <c r="Z5" s="3293"/>
      <c r="AA5" s="3278"/>
      <c r="AB5" s="3278"/>
      <c r="AC5" s="3278"/>
    </row>
    <row r="6" spans="1:30" ht="15.75" thickBot="1">
      <c r="A6" s="406"/>
      <c r="B6" s="407"/>
      <c r="C6" s="3297" t="s">
        <v>3349</v>
      </c>
      <c r="D6" s="3298"/>
      <c r="E6" s="3304" t="s">
        <v>3349</v>
      </c>
      <c r="F6" s="3305"/>
      <c r="G6" s="3297" t="s">
        <v>3349</v>
      </c>
      <c r="H6" s="3298"/>
      <c r="I6" s="3297" t="s">
        <v>3349</v>
      </c>
      <c r="J6" s="3298"/>
      <c r="K6" s="610" t="s">
        <v>2546</v>
      </c>
      <c r="L6" s="1133"/>
      <c r="M6" s="1134"/>
      <c r="N6" s="1134"/>
      <c r="O6" s="1134"/>
      <c r="P6" s="3288"/>
      <c r="Q6" s="3289"/>
      <c r="R6" s="3292"/>
      <c r="S6" s="3293"/>
      <c r="T6" s="3294"/>
      <c r="U6" s="3295"/>
      <c r="V6" s="3296"/>
      <c r="W6" s="3296"/>
      <c r="X6" s="1816"/>
      <c r="Y6" s="3294"/>
      <c r="Z6" s="3295"/>
      <c r="AA6" s="3279"/>
      <c r="AB6" s="3279"/>
      <c r="AC6" s="3279"/>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301" t="s">
        <v>2548</v>
      </c>
      <c r="Q7" s="3303"/>
      <c r="R7" s="770" t="s">
        <v>17</v>
      </c>
      <c r="S7" s="771">
        <f t="shared" ref="S7:S15" si="0">F7</f>
        <v>100</v>
      </c>
      <c r="T7" s="770" t="s">
        <v>17</v>
      </c>
      <c r="U7" s="771">
        <f t="shared" ref="U7:U15" si="1">H7</f>
        <v>100</v>
      </c>
      <c r="V7" s="770" t="s">
        <v>17</v>
      </c>
      <c r="W7" s="771">
        <f t="shared" ref="W7:W15" si="2">J7</f>
        <v>100</v>
      </c>
      <c r="X7" s="772"/>
      <c r="Y7" s="3301" t="s">
        <v>2548</v>
      </c>
      <c r="Z7" s="3302"/>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301" t="s">
        <v>2551</v>
      </c>
      <c r="Q8" s="3302"/>
      <c r="R8" s="770" t="s">
        <v>17</v>
      </c>
      <c r="S8" s="771">
        <f t="shared" si="0"/>
        <v>100</v>
      </c>
      <c r="T8" s="770" t="s">
        <v>17</v>
      </c>
      <c r="U8" s="771">
        <f t="shared" si="1"/>
        <v>100</v>
      </c>
      <c r="V8" s="770" t="s">
        <v>17</v>
      </c>
      <c r="W8" s="771">
        <f t="shared" si="2"/>
        <v>100</v>
      </c>
      <c r="X8" s="772"/>
      <c r="Y8" s="3301" t="s">
        <v>2551</v>
      </c>
      <c r="Z8" s="3302"/>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65"/>
      <c r="Q10" s="1798" t="str">
        <f t="shared" si="6"/>
        <v>土地使用年限（年）</v>
      </c>
      <c r="R10" s="770" t="s">
        <v>17</v>
      </c>
      <c r="S10" s="771">
        <f t="shared" si="0"/>
        <v>105</v>
      </c>
      <c r="T10" s="770" t="s">
        <v>17</v>
      </c>
      <c r="U10" s="771">
        <f t="shared" si="1"/>
        <v>105</v>
      </c>
      <c r="V10" s="770" t="s">
        <v>17</v>
      </c>
      <c r="W10" s="771">
        <f t="shared" si="2"/>
        <v>105</v>
      </c>
      <c r="X10" s="772"/>
      <c r="Y10" s="3079"/>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65"/>
      <c r="Q11" s="1798" t="str">
        <f t="shared" si="6"/>
        <v>容积率</v>
      </c>
      <c r="R11" s="770" t="s">
        <v>17</v>
      </c>
      <c r="S11" s="771">
        <f t="shared" si="0"/>
        <v>118</v>
      </c>
      <c r="T11" s="770" t="s">
        <v>17</v>
      </c>
      <c r="U11" s="771">
        <f t="shared" si="1"/>
        <v>112</v>
      </c>
      <c r="V11" s="770" t="s">
        <v>17</v>
      </c>
      <c r="W11" s="771">
        <f t="shared" si="2"/>
        <v>118</v>
      </c>
      <c r="X11" s="772"/>
      <c r="Y11" s="3079"/>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5"/>
      <c r="Q12" s="1798" t="str">
        <f t="shared" si="6"/>
        <v>配建</v>
      </c>
      <c r="R12" s="770" t="s">
        <v>17</v>
      </c>
      <c r="S12" s="771">
        <f t="shared" si="0"/>
        <v>100</v>
      </c>
      <c r="T12" s="770" t="s">
        <v>17</v>
      </c>
      <c r="U12" s="771">
        <f t="shared" si="1"/>
        <v>100</v>
      </c>
      <c r="V12" s="770" t="s">
        <v>17</v>
      </c>
      <c r="W12" s="771">
        <f t="shared" si="2"/>
        <v>100</v>
      </c>
      <c r="X12" s="772"/>
      <c r="Y12" s="3079"/>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79"/>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7" t="s">
        <v>2559</v>
      </c>
      <c r="Q15" s="1813" t="str">
        <f t="shared" si="6"/>
        <v>居住社区成熟度</v>
      </c>
      <c r="R15" s="774" t="s">
        <v>17</v>
      </c>
      <c r="S15" s="775">
        <f t="shared" si="0"/>
        <v>100</v>
      </c>
      <c r="T15" s="774" t="s">
        <v>17</v>
      </c>
      <c r="U15" s="775">
        <f t="shared" si="1"/>
        <v>100</v>
      </c>
      <c r="V15" s="774" t="s">
        <v>17</v>
      </c>
      <c r="W15" s="775">
        <f t="shared" si="2"/>
        <v>100</v>
      </c>
      <c r="X15" s="1816"/>
      <c r="Y15" s="3267"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268"/>
      <c r="Q16" s="1813"/>
      <c r="R16" s="774"/>
      <c r="S16" s="775"/>
      <c r="T16" s="774"/>
      <c r="U16" s="775"/>
      <c r="V16" s="774"/>
      <c r="W16" s="775"/>
      <c r="X16" s="1816"/>
      <c r="Y16" s="3268"/>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268"/>
      <c r="Q17" s="1813" t="str">
        <f>B17</f>
        <v>商业繁华度</v>
      </c>
      <c r="R17" s="774" t="s">
        <v>17</v>
      </c>
      <c r="S17" s="775">
        <f>F17</f>
        <v>100</v>
      </c>
      <c r="T17" s="774" t="s">
        <v>17</v>
      </c>
      <c r="U17" s="775">
        <f>H17</f>
        <v>100</v>
      </c>
      <c r="V17" s="774" t="s">
        <v>17</v>
      </c>
      <c r="W17" s="775">
        <f>J17</f>
        <v>100</v>
      </c>
      <c r="X17" s="1816"/>
      <c r="Y17" s="3268"/>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268"/>
      <c r="Q18" s="1813"/>
      <c r="R18" s="774"/>
      <c r="S18" s="775"/>
      <c r="T18" s="774"/>
      <c r="U18" s="775"/>
      <c r="V18" s="774"/>
      <c r="W18" s="775"/>
      <c r="X18" s="1816"/>
      <c r="Y18" s="3268"/>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268"/>
      <c r="Q19" s="1813" t="str">
        <f>B19</f>
        <v>办公集聚程度</v>
      </c>
      <c r="R19" s="774" t="s">
        <v>17</v>
      </c>
      <c r="S19" s="775">
        <f>F19</f>
        <v>102</v>
      </c>
      <c r="T19" s="774" t="s">
        <v>17</v>
      </c>
      <c r="U19" s="775">
        <f>H19</f>
        <v>102</v>
      </c>
      <c r="V19" s="774" t="s">
        <v>17</v>
      </c>
      <c r="W19" s="775">
        <f>J19</f>
        <v>102</v>
      </c>
      <c r="X19" s="1816"/>
      <c r="Y19" s="3268"/>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268"/>
      <c r="Q20" s="1813"/>
      <c r="R20" s="774"/>
      <c r="S20" s="775"/>
      <c r="T20" s="774"/>
      <c r="U20" s="775"/>
      <c r="V20" s="774"/>
      <c r="W20" s="775"/>
      <c r="X20" s="1816"/>
      <c r="Y20" s="3268"/>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8"/>
      <c r="Q21" s="1813" t="str">
        <f>B21</f>
        <v>交通便捷度</v>
      </c>
      <c r="R21" s="774" t="s">
        <v>17</v>
      </c>
      <c r="S21" s="775">
        <f>F21</f>
        <v>100</v>
      </c>
      <c r="T21" s="774" t="s">
        <v>17</v>
      </c>
      <c r="U21" s="775">
        <f>H21</f>
        <v>100</v>
      </c>
      <c r="V21" s="774" t="s">
        <v>17</v>
      </c>
      <c r="W21" s="775">
        <f>J21</f>
        <v>100</v>
      </c>
      <c r="X21" s="1816"/>
      <c r="Y21" s="3268"/>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268"/>
      <c r="Q22" s="1813"/>
      <c r="R22" s="774"/>
      <c r="S22" s="775"/>
      <c r="T22" s="774"/>
      <c r="U22" s="775"/>
      <c r="V22" s="774"/>
      <c r="W22" s="775"/>
      <c r="X22" s="1816"/>
      <c r="Y22" s="3268"/>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8"/>
      <c r="Q23" s="1813" t="str">
        <f t="shared" ref="Q23:Q37" si="8">B23</f>
        <v>区域土地利用方向</v>
      </c>
      <c r="R23" s="774" t="s">
        <v>17</v>
      </c>
      <c r="S23" s="775">
        <f>F23</f>
        <v>100</v>
      </c>
      <c r="T23" s="774" t="s">
        <v>17</v>
      </c>
      <c r="U23" s="775">
        <f>H23</f>
        <v>100</v>
      </c>
      <c r="V23" s="774" t="s">
        <v>17</v>
      </c>
      <c r="W23" s="775">
        <f>J23</f>
        <v>100</v>
      </c>
      <c r="X23" s="1816"/>
      <c r="Y23" s="3268"/>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268"/>
      <c r="Q24" s="1813"/>
      <c r="R24" s="774"/>
      <c r="S24" s="775"/>
      <c r="T24" s="774"/>
      <c r="U24" s="775"/>
      <c r="V24" s="774"/>
      <c r="W24" s="775"/>
      <c r="X24" s="1816"/>
      <c r="Y24" s="3268"/>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8"/>
      <c r="Q25" s="1813" t="str">
        <f t="shared" si="8"/>
        <v>自然及人文环境状况</v>
      </c>
      <c r="R25" s="774" t="s">
        <v>17</v>
      </c>
      <c r="S25" s="775">
        <f>F25</f>
        <v>100</v>
      </c>
      <c r="T25" s="774" t="s">
        <v>17</v>
      </c>
      <c r="U25" s="775">
        <f>H25</f>
        <v>100</v>
      </c>
      <c r="V25" s="774" t="s">
        <v>17</v>
      </c>
      <c r="W25" s="775">
        <f>J25</f>
        <v>100</v>
      </c>
      <c r="X25" s="1816"/>
      <c r="Y25" s="3268"/>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268"/>
      <c r="Q26" s="1813"/>
      <c r="R26" s="774"/>
      <c r="S26" s="775"/>
      <c r="T26" s="774"/>
      <c r="U26" s="775"/>
      <c r="V26" s="774"/>
      <c r="W26" s="775"/>
      <c r="X26" s="1816"/>
      <c r="Y26" s="3268"/>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8"/>
      <c r="Q27" s="1798" t="str">
        <f t="shared" si="8"/>
        <v>公共配套设施</v>
      </c>
      <c r="R27" s="770" t="s">
        <v>17</v>
      </c>
      <c r="S27" s="771">
        <f>F27</f>
        <v>100</v>
      </c>
      <c r="T27" s="770" t="s">
        <v>17</v>
      </c>
      <c r="U27" s="771">
        <f>H27</f>
        <v>100</v>
      </c>
      <c r="V27" s="770" t="s">
        <v>17</v>
      </c>
      <c r="W27" s="771">
        <f>J27</f>
        <v>100</v>
      </c>
      <c r="X27" s="772"/>
      <c r="Y27" s="3268"/>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268"/>
      <c r="Q28" s="1798"/>
      <c r="R28" s="770"/>
      <c r="S28" s="771"/>
      <c r="T28" s="770"/>
      <c r="U28" s="771"/>
      <c r="V28" s="770"/>
      <c r="W28" s="771"/>
      <c r="X28" s="772"/>
      <c r="Y28" s="3268"/>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8"/>
      <c r="Q29" s="1798" t="str">
        <f t="shared" ref="Q29" si="9">B29</f>
        <v>基础设施水平</v>
      </c>
      <c r="R29" s="770" t="s">
        <v>17</v>
      </c>
      <c r="S29" s="771">
        <f>F29</f>
        <v>100</v>
      </c>
      <c r="T29" s="770" t="s">
        <v>17</v>
      </c>
      <c r="U29" s="771">
        <f>H29</f>
        <v>100</v>
      </c>
      <c r="V29" s="770" t="s">
        <v>17</v>
      </c>
      <c r="W29" s="771">
        <f>J29</f>
        <v>100</v>
      </c>
      <c r="X29" s="772"/>
      <c r="Y29" s="3268"/>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268"/>
      <c r="Q30" s="1798"/>
      <c r="R30" s="770"/>
      <c r="S30" s="771"/>
      <c r="T30" s="770"/>
      <c r="U30" s="771"/>
      <c r="V30" s="770"/>
      <c r="W30" s="771"/>
      <c r="X30" s="772"/>
      <c r="Y30" s="3268"/>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2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8"/>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8"/>
      <c r="Q32" s="1813" t="str">
        <f t="shared" si="8"/>
        <v>毗邻道路的类型与等级</v>
      </c>
      <c r="R32" s="774" t="s">
        <v>17</v>
      </c>
      <c r="S32" s="775">
        <f t="shared" si="10"/>
        <v>100</v>
      </c>
      <c r="T32" s="774" t="s">
        <v>17</v>
      </c>
      <c r="U32" s="775">
        <f t="shared" si="11"/>
        <v>100</v>
      </c>
      <c r="V32" s="774" t="s">
        <v>17</v>
      </c>
      <c r="W32" s="775">
        <f t="shared" si="12"/>
        <v>100</v>
      </c>
      <c r="X32" s="1816"/>
      <c r="Y32" s="3268"/>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268"/>
      <c r="Q33" s="1813"/>
      <c r="R33" s="774"/>
      <c r="S33" s="775"/>
      <c r="T33" s="774"/>
      <c r="U33" s="775"/>
      <c r="V33" s="774"/>
      <c r="W33" s="775"/>
      <c r="X33" s="1816"/>
      <c r="Y33" s="3268"/>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8"/>
      <c r="Q34" s="1813" t="str">
        <f t="shared" si="8"/>
        <v>土地级别</v>
      </c>
      <c r="R34" s="774" t="s">
        <v>17</v>
      </c>
      <c r="S34" s="775">
        <f t="shared" si="10"/>
        <v>100</v>
      </c>
      <c r="T34" s="774" t="s">
        <v>17</v>
      </c>
      <c r="U34" s="775">
        <f t="shared" si="11"/>
        <v>100</v>
      </c>
      <c r="V34" s="774" t="s">
        <v>17</v>
      </c>
      <c r="W34" s="775">
        <f t="shared" si="12"/>
        <v>100</v>
      </c>
      <c r="X34" s="1816"/>
      <c r="Y34" s="32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8"/>
      <c r="Q35" s="1813">
        <f t="shared" si="8"/>
        <v>111</v>
      </c>
      <c r="R35" s="774" t="s">
        <v>17</v>
      </c>
      <c r="S35" s="775">
        <f t="shared" si="10"/>
        <v>100</v>
      </c>
      <c r="T35" s="774" t="s">
        <v>17</v>
      </c>
      <c r="U35" s="775">
        <f t="shared" si="11"/>
        <v>100</v>
      </c>
      <c r="V35" s="774" t="s">
        <v>17</v>
      </c>
      <c r="W35" s="775">
        <f t="shared" si="12"/>
        <v>100</v>
      </c>
      <c r="X35" s="1816"/>
      <c r="Y35" s="32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3" t="s">
        <v>2564</v>
      </c>
      <c r="Q36" s="1813">
        <f t="shared" si="8"/>
        <v>111</v>
      </c>
      <c r="R36" s="774" t="s">
        <v>17</v>
      </c>
      <c r="S36" s="775">
        <f t="shared" si="10"/>
        <v>100</v>
      </c>
      <c r="T36" s="774" t="s">
        <v>17</v>
      </c>
      <c r="U36" s="775">
        <f t="shared" si="11"/>
        <v>100</v>
      </c>
      <c r="V36" s="774" t="s">
        <v>17</v>
      </c>
      <c r="W36" s="775">
        <f t="shared" si="12"/>
        <v>100</v>
      </c>
      <c r="X36" s="1816"/>
      <c r="Y36" s="3272"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2"/>
      <c r="Q37" s="1813">
        <f t="shared" si="8"/>
        <v>111</v>
      </c>
      <c r="R37" s="777" t="s">
        <v>17</v>
      </c>
      <c r="S37" s="778">
        <f t="shared" si="10"/>
        <v>100</v>
      </c>
      <c r="T37" s="777" t="s">
        <v>17</v>
      </c>
      <c r="U37" s="778">
        <f t="shared" si="11"/>
        <v>100</v>
      </c>
      <c r="V37" s="777" t="s">
        <v>17</v>
      </c>
      <c r="W37" s="778">
        <f t="shared" si="12"/>
        <v>100</v>
      </c>
      <c r="X37" s="779"/>
      <c r="Y37" s="3272"/>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272"/>
      <c r="Q38" s="1813" t="str">
        <f>B38</f>
        <v>宗地面积</v>
      </c>
      <c r="R38" s="774" t="s">
        <v>17</v>
      </c>
      <c r="S38" s="775">
        <f t="shared" si="10"/>
        <v>96</v>
      </c>
      <c r="T38" s="774" t="s">
        <v>17</v>
      </c>
      <c r="U38" s="775">
        <f t="shared" si="11"/>
        <v>95</v>
      </c>
      <c r="V38" s="774" t="s">
        <v>17</v>
      </c>
      <c r="W38" s="775">
        <f t="shared" si="12"/>
        <v>96</v>
      </c>
      <c r="X38" s="1816"/>
      <c r="Y38" s="3272"/>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272"/>
      <c r="Q39" s="1813" t="str">
        <f t="shared" ref="Q39:Q45" si="14">B39</f>
        <v>宗地形状</v>
      </c>
      <c r="R39" s="774" t="s">
        <v>17</v>
      </c>
      <c r="S39" s="775">
        <f t="shared" si="10"/>
        <v>100</v>
      </c>
      <c r="T39" s="774" t="s">
        <v>17</v>
      </c>
      <c r="U39" s="775">
        <f t="shared" si="11"/>
        <v>100</v>
      </c>
      <c r="V39" s="774" t="s">
        <v>17</v>
      </c>
      <c r="W39" s="775">
        <f t="shared" si="12"/>
        <v>100</v>
      </c>
      <c r="X39" s="1816"/>
      <c r="Y39" s="3272"/>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72"/>
      <c r="Q40" s="1813" t="str">
        <f t="shared" si="14"/>
        <v>临街宽度及深度</v>
      </c>
      <c r="R40" s="774" t="s">
        <v>17</v>
      </c>
      <c r="S40" s="775">
        <f t="shared" si="10"/>
        <v>100</v>
      </c>
      <c r="T40" s="774" t="s">
        <v>17</v>
      </c>
      <c r="U40" s="775">
        <f t="shared" si="11"/>
        <v>100</v>
      </c>
      <c r="V40" s="774" t="s">
        <v>17</v>
      </c>
      <c r="W40" s="775">
        <f t="shared" si="12"/>
        <v>100</v>
      </c>
      <c r="X40" s="1816"/>
      <c r="Y40" s="3272"/>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272"/>
      <c r="Q41" s="1813" t="str">
        <f t="shared" si="14"/>
        <v>宗地开发程度</v>
      </c>
      <c r="R41" s="770" t="s">
        <v>17</v>
      </c>
      <c r="S41" s="771">
        <f t="shared" si="10"/>
        <v>94</v>
      </c>
      <c r="T41" s="770" t="s">
        <v>17</v>
      </c>
      <c r="U41" s="771">
        <f t="shared" si="11"/>
        <v>94</v>
      </c>
      <c r="V41" s="770" t="s">
        <v>17</v>
      </c>
      <c r="W41" s="771">
        <f t="shared" si="12"/>
        <v>94</v>
      </c>
      <c r="X41" s="772"/>
      <c r="Y41" s="3272"/>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72" t="s">
        <v>2564</v>
      </c>
      <c r="Q42" s="1813" t="str">
        <f t="shared" si="14"/>
        <v>工程地质条件</v>
      </c>
      <c r="R42" s="774" t="s">
        <v>17</v>
      </c>
      <c r="S42" s="775">
        <f t="shared" si="10"/>
        <v>100</v>
      </c>
      <c r="T42" s="774" t="s">
        <v>17</v>
      </c>
      <c r="U42" s="775">
        <f t="shared" si="11"/>
        <v>100</v>
      </c>
      <c r="V42" s="774" t="s">
        <v>17</v>
      </c>
      <c r="W42" s="775">
        <f t="shared" si="12"/>
        <v>100</v>
      </c>
      <c r="X42" s="1816"/>
      <c r="Y42" s="3272"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2"/>
      <c r="Q43" s="1813">
        <f t="shared" si="14"/>
        <v>111</v>
      </c>
      <c r="R43" s="774" t="s">
        <v>17</v>
      </c>
      <c r="S43" s="775">
        <f t="shared" si="10"/>
        <v>100</v>
      </c>
      <c r="T43" s="774" t="s">
        <v>17</v>
      </c>
      <c r="U43" s="775">
        <f t="shared" si="11"/>
        <v>100</v>
      </c>
      <c r="V43" s="774" t="s">
        <v>17</v>
      </c>
      <c r="W43" s="775">
        <f t="shared" si="12"/>
        <v>100</v>
      </c>
      <c r="X43" s="1816"/>
      <c r="Y43" s="32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2"/>
      <c r="Q44" s="1813">
        <f t="shared" si="14"/>
        <v>111</v>
      </c>
      <c r="R44" s="774" t="s">
        <v>17</v>
      </c>
      <c r="S44" s="775">
        <f t="shared" si="10"/>
        <v>100</v>
      </c>
      <c r="T44" s="774" t="s">
        <v>17</v>
      </c>
      <c r="U44" s="775">
        <f t="shared" si="11"/>
        <v>100</v>
      </c>
      <c r="V44" s="774" t="s">
        <v>17</v>
      </c>
      <c r="W44" s="775">
        <f t="shared" si="12"/>
        <v>100</v>
      </c>
      <c r="X44" s="1816"/>
      <c r="Y44" s="327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2"/>
      <c r="Q45" s="1813">
        <f t="shared" si="14"/>
        <v>111</v>
      </c>
      <c r="R45" s="777" t="s">
        <v>17</v>
      </c>
      <c r="S45" s="778">
        <f t="shared" si="10"/>
        <v>100</v>
      </c>
      <c r="T45" s="777" t="s">
        <v>17</v>
      </c>
      <c r="U45" s="778">
        <f t="shared" si="11"/>
        <v>100</v>
      </c>
      <c r="V45" s="777" t="s">
        <v>17</v>
      </c>
      <c r="W45" s="778">
        <f t="shared" si="12"/>
        <v>100</v>
      </c>
      <c r="X45" s="779"/>
      <c r="Y45" s="3272"/>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65" t="str">
        <f>A46</f>
        <v>成交单价</v>
      </c>
      <c r="Q46" s="3265"/>
      <c r="R46" s="3296">
        <f>E46</f>
        <v>2148</v>
      </c>
      <c r="S46" s="3296"/>
      <c r="T46" s="3296">
        <f>G46</f>
        <v>1620</v>
      </c>
      <c r="U46" s="3296"/>
      <c r="V46" s="3296">
        <f>I46</f>
        <v>1860</v>
      </c>
      <c r="W46" s="3296"/>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65" t="str">
        <f>A47</f>
        <v>比较价值（元/平方米）</v>
      </c>
      <c r="Q47" s="3265"/>
      <c r="R47" s="3325">
        <f>ROUND(PRODUCT(R46,AA7:AA45),0)</f>
        <v>1883</v>
      </c>
      <c r="S47" s="3325"/>
      <c r="T47" s="3325">
        <f>ROUND(PRODUCT(T46,AB7:AB45),0)</f>
        <v>1512</v>
      </c>
      <c r="U47" s="3325"/>
      <c r="V47" s="3325">
        <f>ROUND(PRODUCT(V46,AC7:AC45),0)</f>
        <v>1631</v>
      </c>
      <c r="W47" s="3325"/>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62" t="str">
        <f>A48</f>
        <v>估价对象XX用房的比较价值（楼面单价，元/平方米）</v>
      </c>
      <c r="Q48" s="3263"/>
      <c r="R48" s="3326">
        <f>ROUND(AVERAGE(R47:V47),0)</f>
        <v>1675</v>
      </c>
      <c r="S48" s="3326"/>
      <c r="T48" s="3326"/>
      <c r="U48" s="3326"/>
      <c r="V48" s="3326"/>
      <c r="W48" s="33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0" t="s">
        <v>2762</v>
      </c>
      <c r="H55" s="3327"/>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76"/>
      <c r="H56" s="3265"/>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8"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8"/>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8"/>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8"/>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0" t="s">
        <v>2645</v>
      </c>
      <c r="D4" s="3281"/>
      <c r="E4" s="3282" t="s">
        <v>2646</v>
      </c>
      <c r="F4" s="3283"/>
      <c r="G4" s="3280" t="s">
        <v>2647</v>
      </c>
      <c r="H4" s="3281"/>
      <c r="I4" s="3280" t="s">
        <v>2648</v>
      </c>
      <c r="J4" s="3281"/>
      <c r="K4" s="610" t="s">
        <v>2649</v>
      </c>
      <c r="L4" s="1133"/>
      <c r="M4" s="1134"/>
      <c r="N4" s="1134"/>
      <c r="O4" s="1134"/>
      <c r="P4" s="3284" t="s">
        <v>2650</v>
      </c>
      <c r="Q4" s="3285"/>
      <c r="R4" s="3290" t="s">
        <v>2646</v>
      </c>
      <c r="S4" s="3291"/>
      <c r="T4" s="3290" t="s">
        <v>2647</v>
      </c>
      <c r="U4" s="3291"/>
      <c r="V4" s="3296" t="s">
        <v>2648</v>
      </c>
      <c r="W4" s="3296"/>
      <c r="X4" s="1816"/>
      <c r="Y4" s="3290" t="s">
        <v>2650</v>
      </c>
      <c r="Z4" s="3291"/>
      <c r="AA4" s="3277" t="s">
        <v>2646</v>
      </c>
      <c r="AB4" s="3278" t="s">
        <v>2647</v>
      </c>
      <c r="AC4" s="3277" t="s">
        <v>2648</v>
      </c>
    </row>
    <row r="5" spans="1:29" ht="15">
      <c r="A5" s="404"/>
      <c r="B5" s="405"/>
      <c r="C5" s="3299" t="s">
        <v>2541</v>
      </c>
      <c r="D5" s="3300"/>
      <c r="E5" s="3306" t="s">
        <v>2542</v>
      </c>
      <c r="F5" s="3307"/>
      <c r="G5" s="3299" t="s">
        <v>2543</v>
      </c>
      <c r="H5" s="3300"/>
      <c r="I5" s="3299" t="s">
        <v>2544</v>
      </c>
      <c r="J5" s="3300"/>
      <c r="K5" s="610"/>
      <c r="L5" s="1133"/>
      <c r="M5" s="1134"/>
      <c r="N5" s="1134"/>
      <c r="O5" s="1134"/>
      <c r="P5" s="3286"/>
      <c r="Q5" s="3287"/>
      <c r="R5" s="3292"/>
      <c r="S5" s="3293"/>
      <c r="T5" s="3292"/>
      <c r="U5" s="3293"/>
      <c r="V5" s="3296"/>
      <c r="W5" s="3296"/>
      <c r="X5" s="1816"/>
      <c r="Y5" s="3292"/>
      <c r="Z5" s="3293"/>
      <c r="AA5" s="3278"/>
      <c r="AB5" s="3278"/>
      <c r="AC5" s="3278"/>
    </row>
    <row r="6" spans="1:29" ht="15.75" thickBot="1">
      <c r="A6" s="406"/>
      <c r="B6" s="407"/>
      <c r="C6" s="3329" t="s">
        <v>2795</v>
      </c>
      <c r="D6" s="3330"/>
      <c r="E6" s="3331" t="s">
        <v>2795</v>
      </c>
      <c r="F6" s="3332"/>
      <c r="G6" s="3329" t="s">
        <v>2795</v>
      </c>
      <c r="H6" s="3330"/>
      <c r="I6" s="3329" t="s">
        <v>2795</v>
      </c>
      <c r="J6" s="3330"/>
      <c r="K6" s="610" t="s">
        <v>2546</v>
      </c>
      <c r="L6" s="1133"/>
      <c r="M6" s="1134"/>
      <c r="N6" s="1134"/>
      <c r="O6" s="1134"/>
      <c r="P6" s="3288"/>
      <c r="Q6" s="3289"/>
      <c r="R6" s="3292"/>
      <c r="S6" s="3293"/>
      <c r="T6" s="3294"/>
      <c r="U6" s="3295"/>
      <c r="V6" s="3296"/>
      <c r="W6" s="3296"/>
      <c r="X6" s="1816"/>
      <c r="Y6" s="3294"/>
      <c r="Z6" s="3295"/>
      <c r="AA6" s="3279"/>
      <c r="AB6" s="3279"/>
      <c r="AC6" s="3279"/>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301" t="s">
        <v>2548</v>
      </c>
      <c r="Q7" s="3303"/>
      <c r="R7" s="770" t="s">
        <v>17</v>
      </c>
      <c r="S7" s="771">
        <f t="shared" ref="S7:S15" si="0">F7</f>
        <v>0</v>
      </c>
      <c r="T7" s="770" t="s">
        <v>17</v>
      </c>
      <c r="U7" s="771">
        <f t="shared" ref="U7:U15" si="1">H7</f>
        <v>0</v>
      </c>
      <c r="V7" s="770" t="s">
        <v>17</v>
      </c>
      <c r="W7" s="771">
        <f t="shared" ref="W7:W15" si="2">J7</f>
        <v>0</v>
      </c>
      <c r="X7" s="772"/>
      <c r="Y7" s="3301" t="s">
        <v>2548</v>
      </c>
      <c r="Z7" s="3302"/>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01" t="s">
        <v>2551</v>
      </c>
      <c r="Q8" s="3302"/>
      <c r="R8" s="770" t="s">
        <v>17</v>
      </c>
      <c r="S8" s="771">
        <f t="shared" si="0"/>
        <v>0</v>
      </c>
      <c r="T8" s="770" t="s">
        <v>17</v>
      </c>
      <c r="U8" s="771">
        <f t="shared" si="1"/>
        <v>0</v>
      </c>
      <c r="V8" s="770" t="s">
        <v>17</v>
      </c>
      <c r="W8" s="771">
        <f t="shared" si="2"/>
        <v>0</v>
      </c>
      <c r="X8" s="772"/>
      <c r="Y8" s="3301" t="s">
        <v>2551</v>
      </c>
      <c r="Z8" s="3302"/>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65" t="s">
        <v>2554</v>
      </c>
      <c r="Q9" s="1798" t="str">
        <f t="shared" ref="Q9:Q15" si="6">B9</f>
        <v>用途</v>
      </c>
      <c r="R9" s="770" t="s">
        <v>17</v>
      </c>
      <c r="S9" s="771">
        <f t="shared" si="0"/>
        <v>100</v>
      </c>
      <c r="T9" s="770" t="s">
        <v>17</v>
      </c>
      <c r="U9" s="771">
        <f t="shared" si="1"/>
        <v>100</v>
      </c>
      <c r="V9" s="770" t="s">
        <v>17</v>
      </c>
      <c r="W9" s="771">
        <f t="shared" si="2"/>
        <v>100</v>
      </c>
      <c r="X9" s="772"/>
      <c r="Y9" s="307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65"/>
      <c r="Q10" s="1798" t="str">
        <f t="shared" si="6"/>
        <v>土地使用年限（年）</v>
      </c>
      <c r="R10" s="770" t="s">
        <v>17</v>
      </c>
      <c r="S10" s="771">
        <f t="shared" si="0"/>
        <v>105</v>
      </c>
      <c r="T10" s="770" t="s">
        <v>17</v>
      </c>
      <c r="U10" s="771">
        <f t="shared" si="1"/>
        <v>105</v>
      </c>
      <c r="V10" s="770" t="s">
        <v>17</v>
      </c>
      <c r="W10" s="771">
        <f t="shared" si="2"/>
        <v>105</v>
      </c>
      <c r="X10" s="772"/>
      <c r="Y10" s="3079"/>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5"/>
      <c r="Q11" s="1798" t="str">
        <f t="shared" si="6"/>
        <v>容积率</v>
      </c>
      <c r="R11" s="770" t="s">
        <v>17</v>
      </c>
      <c r="S11" s="771" t="e">
        <f t="shared" si="0"/>
        <v>#N/A</v>
      </c>
      <c r="T11" s="770" t="s">
        <v>17</v>
      </c>
      <c r="U11" s="771" t="e">
        <f t="shared" si="1"/>
        <v>#N/A</v>
      </c>
      <c r="V11" s="770" t="s">
        <v>17</v>
      </c>
      <c r="W11" s="771" t="e">
        <f t="shared" si="2"/>
        <v>#N/A</v>
      </c>
      <c r="X11" s="772"/>
      <c r="Y11" s="3079"/>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5"/>
      <c r="Q12" s="1798">
        <f t="shared" si="6"/>
        <v>111</v>
      </c>
      <c r="R12" s="770" t="s">
        <v>17</v>
      </c>
      <c r="S12" s="771">
        <f t="shared" si="0"/>
        <v>100</v>
      </c>
      <c r="T12" s="770" t="s">
        <v>17</v>
      </c>
      <c r="U12" s="771">
        <f t="shared" si="1"/>
        <v>100</v>
      </c>
      <c r="V12" s="770" t="s">
        <v>17</v>
      </c>
      <c r="W12" s="771">
        <f t="shared" si="2"/>
        <v>100</v>
      </c>
      <c r="X12" s="772"/>
      <c r="Y12" s="3079"/>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5"/>
      <c r="Q13" s="1798">
        <f t="shared" si="6"/>
        <v>111</v>
      </c>
      <c r="R13" s="770" t="s">
        <v>17</v>
      </c>
      <c r="S13" s="771">
        <f t="shared" si="0"/>
        <v>100</v>
      </c>
      <c r="T13" s="770" t="s">
        <v>17</v>
      </c>
      <c r="U13" s="771">
        <f t="shared" si="1"/>
        <v>100</v>
      </c>
      <c r="V13" s="770" t="s">
        <v>17</v>
      </c>
      <c r="W13" s="771">
        <f t="shared" si="2"/>
        <v>100</v>
      </c>
      <c r="X13" s="772"/>
      <c r="Y13" s="3079"/>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5"/>
      <c r="Q14" s="1798">
        <f t="shared" si="6"/>
        <v>111</v>
      </c>
      <c r="R14" s="770" t="s">
        <v>17</v>
      </c>
      <c r="S14" s="771">
        <f t="shared" si="0"/>
        <v>100</v>
      </c>
      <c r="T14" s="770" t="s">
        <v>17</v>
      </c>
      <c r="U14" s="771">
        <f t="shared" si="1"/>
        <v>100</v>
      </c>
      <c r="V14" s="770" t="s">
        <v>17</v>
      </c>
      <c r="W14" s="771">
        <f t="shared" si="2"/>
        <v>100</v>
      </c>
      <c r="X14" s="772"/>
      <c r="Y14" s="3079"/>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7" t="s">
        <v>2559</v>
      </c>
      <c r="Q15" s="1813" t="str">
        <f t="shared" si="6"/>
        <v>产业集聚程度</v>
      </c>
      <c r="R15" s="774" t="s">
        <v>17</v>
      </c>
      <c r="S15" s="775">
        <f t="shared" si="0"/>
        <v>100</v>
      </c>
      <c r="T15" s="774" t="s">
        <v>17</v>
      </c>
      <c r="U15" s="775">
        <f t="shared" si="1"/>
        <v>100</v>
      </c>
      <c r="V15" s="774" t="s">
        <v>17</v>
      </c>
      <c r="W15" s="775">
        <f t="shared" si="2"/>
        <v>100</v>
      </c>
      <c r="X15" s="1816"/>
      <c r="Y15" s="3267"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68"/>
      <c r="Q16" s="1813"/>
      <c r="R16" s="774"/>
      <c r="S16" s="775"/>
      <c r="T16" s="774"/>
      <c r="U16" s="775"/>
      <c r="V16" s="774"/>
      <c r="W16" s="775"/>
      <c r="X16" s="1816"/>
      <c r="Y16" s="3268"/>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8"/>
      <c r="Q17" s="1813" t="str">
        <f>B17</f>
        <v>交通便捷度</v>
      </c>
      <c r="R17" s="774" t="s">
        <v>17</v>
      </c>
      <c r="S17" s="775">
        <f>F17</f>
        <v>100</v>
      </c>
      <c r="T17" s="774" t="s">
        <v>17</v>
      </c>
      <c r="U17" s="775">
        <f>H17</f>
        <v>100</v>
      </c>
      <c r="V17" s="774" t="s">
        <v>17</v>
      </c>
      <c r="W17" s="775">
        <f>J17</f>
        <v>100</v>
      </c>
      <c r="X17" s="1816"/>
      <c r="Y17" s="3268"/>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68"/>
      <c r="Q18" s="1813"/>
      <c r="R18" s="774"/>
      <c r="S18" s="775"/>
      <c r="T18" s="774"/>
      <c r="U18" s="775"/>
      <c r="V18" s="774"/>
      <c r="W18" s="775"/>
      <c r="X18" s="1816"/>
      <c r="Y18" s="3268"/>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8"/>
      <c r="Q19" s="1813" t="str">
        <f t="shared" ref="Q19:Q33" si="8">B19</f>
        <v>区域土地利用方向</v>
      </c>
      <c r="R19" s="774" t="s">
        <v>17</v>
      </c>
      <c r="S19" s="775">
        <f>F19</f>
        <v>100</v>
      </c>
      <c r="T19" s="774" t="s">
        <v>17</v>
      </c>
      <c r="U19" s="775">
        <f>H19</f>
        <v>100</v>
      </c>
      <c r="V19" s="774" t="s">
        <v>17</v>
      </c>
      <c r="W19" s="775">
        <f>J19</f>
        <v>100</v>
      </c>
      <c r="X19" s="1816"/>
      <c r="Y19" s="3268"/>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68"/>
      <c r="Q20" s="1813"/>
      <c r="R20" s="774"/>
      <c r="S20" s="775"/>
      <c r="T20" s="774"/>
      <c r="U20" s="775"/>
      <c r="V20" s="774"/>
      <c r="W20" s="775"/>
      <c r="X20" s="1816"/>
      <c r="Y20" s="3268"/>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8"/>
      <c r="Q21" s="1813" t="str">
        <f t="shared" si="8"/>
        <v>环境状况</v>
      </c>
      <c r="R21" s="774" t="s">
        <v>17</v>
      </c>
      <c r="S21" s="775">
        <f>F21</f>
        <v>100</v>
      </c>
      <c r="T21" s="774" t="s">
        <v>17</v>
      </c>
      <c r="U21" s="775">
        <f>H21</f>
        <v>100</v>
      </c>
      <c r="V21" s="774" t="s">
        <v>17</v>
      </c>
      <c r="W21" s="775">
        <f>J21</f>
        <v>100</v>
      </c>
      <c r="X21" s="1816"/>
      <c r="Y21" s="3268"/>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68"/>
      <c r="Q22" s="1813"/>
      <c r="R22" s="774"/>
      <c r="S22" s="775"/>
      <c r="T22" s="774"/>
      <c r="U22" s="775"/>
      <c r="V22" s="774"/>
      <c r="W22" s="775"/>
      <c r="X22" s="1816"/>
      <c r="Y22" s="3268"/>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8"/>
      <c r="Q23" s="1798" t="str">
        <f t="shared" si="8"/>
        <v>公共配套设施</v>
      </c>
      <c r="R23" s="770" t="s">
        <v>17</v>
      </c>
      <c r="S23" s="771">
        <f>F23</f>
        <v>100</v>
      </c>
      <c r="T23" s="770" t="s">
        <v>17</v>
      </c>
      <c r="U23" s="771">
        <f>H23</f>
        <v>100</v>
      </c>
      <c r="V23" s="770" t="s">
        <v>17</v>
      </c>
      <c r="W23" s="771">
        <f>J23</f>
        <v>100</v>
      </c>
      <c r="X23" s="772"/>
      <c r="Y23" s="3268"/>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68"/>
      <c r="Q24" s="1798"/>
      <c r="R24" s="770"/>
      <c r="S24" s="771"/>
      <c r="T24" s="770"/>
      <c r="U24" s="771"/>
      <c r="V24" s="770"/>
      <c r="W24" s="771"/>
      <c r="X24" s="772"/>
      <c r="Y24" s="3268"/>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8"/>
      <c r="Q25" s="1798" t="str">
        <f t="shared" ref="Q25" si="9">B25</f>
        <v>基础设施水平</v>
      </c>
      <c r="R25" s="770" t="s">
        <v>17</v>
      </c>
      <c r="S25" s="771">
        <f>F25</f>
        <v>100</v>
      </c>
      <c r="T25" s="770" t="s">
        <v>17</v>
      </c>
      <c r="U25" s="771">
        <f>H25</f>
        <v>100</v>
      </c>
      <c r="V25" s="770" t="s">
        <v>17</v>
      </c>
      <c r="W25" s="771">
        <f>J25</f>
        <v>100</v>
      </c>
      <c r="X25" s="772"/>
      <c r="Y25" s="3268"/>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8"/>
      <c r="Q26" s="1798"/>
      <c r="R26" s="770"/>
      <c r="S26" s="771"/>
      <c r="T26" s="770"/>
      <c r="U26" s="771"/>
      <c r="V26" s="770"/>
      <c r="W26" s="771"/>
      <c r="X26" s="772"/>
      <c r="Y26" s="326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8"/>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8"/>
      <c r="Q28" s="1813" t="str">
        <f t="shared" si="8"/>
        <v>毗邻道路的类型与等级</v>
      </c>
      <c r="R28" s="774" t="s">
        <v>17</v>
      </c>
      <c r="S28" s="775">
        <f t="shared" si="10"/>
        <v>100</v>
      </c>
      <c r="T28" s="774" t="s">
        <v>17</v>
      </c>
      <c r="U28" s="775">
        <f t="shared" si="11"/>
        <v>100</v>
      </c>
      <c r="V28" s="774" t="s">
        <v>17</v>
      </c>
      <c r="W28" s="775">
        <f t="shared" si="12"/>
        <v>100</v>
      </c>
      <c r="X28" s="1816"/>
      <c r="Y28" s="3268"/>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68"/>
      <c r="Q29" s="1813"/>
      <c r="R29" s="774"/>
      <c r="S29" s="775"/>
      <c r="T29" s="774"/>
      <c r="U29" s="775"/>
      <c r="V29" s="774"/>
      <c r="W29" s="775"/>
      <c r="X29" s="1816"/>
      <c r="Y29" s="3268"/>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8"/>
      <c r="Q30" s="1813" t="str">
        <f t="shared" si="8"/>
        <v>土地级别</v>
      </c>
      <c r="R30" s="774" t="s">
        <v>17</v>
      </c>
      <c r="S30" s="775">
        <f t="shared" si="10"/>
        <v>100</v>
      </c>
      <c r="T30" s="774" t="s">
        <v>17</v>
      </c>
      <c r="U30" s="775">
        <f t="shared" si="11"/>
        <v>100</v>
      </c>
      <c r="V30" s="774" t="s">
        <v>17</v>
      </c>
      <c r="W30" s="775">
        <f t="shared" si="12"/>
        <v>100</v>
      </c>
      <c r="X30" s="1816"/>
      <c r="Y30" s="3268"/>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8"/>
      <c r="Q31" s="1813">
        <f t="shared" si="8"/>
        <v>111</v>
      </c>
      <c r="R31" s="774" t="s">
        <v>17</v>
      </c>
      <c r="S31" s="775">
        <f t="shared" si="10"/>
        <v>100</v>
      </c>
      <c r="T31" s="774" t="s">
        <v>17</v>
      </c>
      <c r="U31" s="775">
        <f t="shared" si="11"/>
        <v>100</v>
      </c>
      <c r="V31" s="774" t="s">
        <v>17</v>
      </c>
      <c r="W31" s="775">
        <f t="shared" si="12"/>
        <v>100</v>
      </c>
      <c r="X31" s="1816"/>
      <c r="Y31" s="3268"/>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3" t="s">
        <v>2564</v>
      </c>
      <c r="Q32" s="1813">
        <f t="shared" si="8"/>
        <v>111</v>
      </c>
      <c r="R32" s="774" t="s">
        <v>17</v>
      </c>
      <c r="S32" s="775">
        <f t="shared" si="10"/>
        <v>100</v>
      </c>
      <c r="T32" s="774" t="s">
        <v>17</v>
      </c>
      <c r="U32" s="775">
        <f t="shared" si="11"/>
        <v>100</v>
      </c>
      <c r="V32" s="774" t="s">
        <v>17</v>
      </c>
      <c r="W32" s="775">
        <f t="shared" si="12"/>
        <v>100</v>
      </c>
      <c r="X32" s="1816"/>
      <c r="Y32" s="3272"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2"/>
      <c r="Q33" s="1813">
        <f t="shared" si="8"/>
        <v>111</v>
      </c>
      <c r="R33" s="777" t="s">
        <v>17</v>
      </c>
      <c r="S33" s="778">
        <f t="shared" si="10"/>
        <v>100</v>
      </c>
      <c r="T33" s="777" t="s">
        <v>17</v>
      </c>
      <c r="U33" s="778">
        <f t="shared" si="11"/>
        <v>100</v>
      </c>
      <c r="V33" s="777" t="s">
        <v>17</v>
      </c>
      <c r="W33" s="778">
        <f t="shared" si="12"/>
        <v>100</v>
      </c>
      <c r="X33" s="779"/>
      <c r="Y33" s="3272"/>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2"/>
      <c r="Q34" s="1813" t="str">
        <f>B34</f>
        <v>宗地面积</v>
      </c>
      <c r="R34" s="774" t="s">
        <v>17</v>
      </c>
      <c r="S34" s="775" t="e">
        <f t="shared" si="10"/>
        <v>#N/A</v>
      </c>
      <c r="T34" s="774" t="s">
        <v>17</v>
      </c>
      <c r="U34" s="775" t="e">
        <f t="shared" si="11"/>
        <v>#N/A</v>
      </c>
      <c r="V34" s="774" t="s">
        <v>17</v>
      </c>
      <c r="W34" s="775" t="e">
        <f t="shared" si="12"/>
        <v>#N/A</v>
      </c>
      <c r="X34" s="1816"/>
      <c r="Y34" s="3272"/>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72"/>
      <c r="Q35" s="1813" t="str">
        <f t="shared" ref="Q35:Q40" si="14">B35</f>
        <v>宗地形状</v>
      </c>
      <c r="R35" s="774" t="s">
        <v>17</v>
      </c>
      <c r="S35" s="775">
        <f t="shared" si="10"/>
        <v>100</v>
      </c>
      <c r="T35" s="774" t="s">
        <v>17</v>
      </c>
      <c r="U35" s="775">
        <f t="shared" si="11"/>
        <v>100</v>
      </c>
      <c r="V35" s="774" t="s">
        <v>17</v>
      </c>
      <c r="W35" s="775">
        <f t="shared" si="12"/>
        <v>100</v>
      </c>
      <c r="X35" s="1816"/>
      <c r="Y35" s="3272"/>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72"/>
      <c r="Q36" s="1813" t="str">
        <f t="shared" si="14"/>
        <v>宗地开发程度</v>
      </c>
      <c r="R36" s="770" t="s">
        <v>17</v>
      </c>
      <c r="S36" s="771">
        <f t="shared" si="10"/>
        <v>100</v>
      </c>
      <c r="T36" s="770" t="s">
        <v>17</v>
      </c>
      <c r="U36" s="771">
        <f t="shared" si="11"/>
        <v>100</v>
      </c>
      <c r="V36" s="770" t="s">
        <v>17</v>
      </c>
      <c r="W36" s="771">
        <f t="shared" si="12"/>
        <v>100</v>
      </c>
      <c r="X36" s="772"/>
      <c r="Y36" s="3272"/>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72" t="s">
        <v>2564</v>
      </c>
      <c r="Q37" s="1813" t="str">
        <f t="shared" si="14"/>
        <v>工程地质条件</v>
      </c>
      <c r="R37" s="774" t="s">
        <v>17</v>
      </c>
      <c r="S37" s="775">
        <f t="shared" si="10"/>
        <v>100</v>
      </c>
      <c r="T37" s="774" t="s">
        <v>17</v>
      </c>
      <c r="U37" s="775">
        <f t="shared" si="11"/>
        <v>100</v>
      </c>
      <c r="V37" s="774" t="s">
        <v>17</v>
      </c>
      <c r="W37" s="775">
        <f t="shared" si="12"/>
        <v>100</v>
      </c>
      <c r="X37" s="1816"/>
      <c r="Y37" s="3272"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2"/>
      <c r="Q38" s="1813">
        <f t="shared" si="14"/>
        <v>111</v>
      </c>
      <c r="R38" s="774" t="s">
        <v>17</v>
      </c>
      <c r="S38" s="775">
        <f t="shared" si="10"/>
        <v>100</v>
      </c>
      <c r="T38" s="774" t="s">
        <v>17</v>
      </c>
      <c r="U38" s="775">
        <f t="shared" si="11"/>
        <v>100</v>
      </c>
      <c r="V38" s="774" t="s">
        <v>17</v>
      </c>
      <c r="W38" s="775">
        <f t="shared" si="12"/>
        <v>100</v>
      </c>
      <c r="X38" s="1816"/>
      <c r="Y38" s="32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2"/>
      <c r="Q39" s="1813">
        <f t="shared" si="14"/>
        <v>111</v>
      </c>
      <c r="R39" s="774" t="s">
        <v>17</v>
      </c>
      <c r="S39" s="775">
        <f t="shared" si="10"/>
        <v>100</v>
      </c>
      <c r="T39" s="774" t="s">
        <v>17</v>
      </c>
      <c r="U39" s="775">
        <f t="shared" si="11"/>
        <v>100</v>
      </c>
      <c r="V39" s="774" t="s">
        <v>17</v>
      </c>
      <c r="W39" s="775">
        <f t="shared" si="12"/>
        <v>100</v>
      </c>
      <c r="X39" s="1816"/>
      <c r="Y39" s="3272"/>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2"/>
      <c r="Q40" s="1813">
        <f t="shared" si="14"/>
        <v>111</v>
      </c>
      <c r="R40" s="777" t="s">
        <v>17</v>
      </c>
      <c r="S40" s="778">
        <f t="shared" si="10"/>
        <v>100</v>
      </c>
      <c r="T40" s="777" t="s">
        <v>17</v>
      </c>
      <c r="U40" s="778">
        <f t="shared" si="11"/>
        <v>100</v>
      </c>
      <c r="V40" s="777" t="s">
        <v>17</v>
      </c>
      <c r="W40" s="778">
        <f t="shared" si="12"/>
        <v>100</v>
      </c>
      <c r="X40" s="779"/>
      <c r="Y40" s="3272"/>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65" t="str">
        <f>A41</f>
        <v>成交单价</v>
      </c>
      <c r="Q41" s="3265"/>
      <c r="R41" s="3296">
        <f>E41</f>
        <v>0</v>
      </c>
      <c r="S41" s="3296"/>
      <c r="T41" s="3296">
        <f>G41</f>
        <v>0</v>
      </c>
      <c r="U41" s="3296"/>
      <c r="V41" s="3296">
        <f>I41</f>
        <v>0</v>
      </c>
      <c r="W41" s="3296"/>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65" t="str">
        <f>A42</f>
        <v>比较价值（元/平方米）</v>
      </c>
      <c r="Q42" s="3265"/>
      <c r="R42" s="3325" t="e">
        <f>ROUND(PRODUCT(R41,AA7:AA40),0)</f>
        <v>#DIV/0!</v>
      </c>
      <c r="S42" s="3325"/>
      <c r="T42" s="3325" t="e">
        <f>ROUND(PRODUCT(T41,AB7:AB40),0)</f>
        <v>#DIV/0!</v>
      </c>
      <c r="U42" s="3325"/>
      <c r="V42" s="3325" t="e">
        <f>ROUND(PRODUCT(V41,AC7:AC40),0)</f>
        <v>#DIV/0!</v>
      </c>
      <c r="W42" s="3325"/>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62" t="str">
        <f>A43</f>
        <v>估价对象XX用房的比较价值（楼面单价，元/平方米）</v>
      </c>
      <c r="Q43" s="3263"/>
      <c r="R43" s="3326" t="e">
        <f>ROUND(AVERAGE(R42:V42),0)</f>
        <v>#DIV/0!</v>
      </c>
      <c r="S43" s="3326"/>
      <c r="T43" s="3326"/>
      <c r="U43" s="3326"/>
      <c r="V43" s="3326"/>
      <c r="W43" s="33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0" t="s">
        <v>2762</v>
      </c>
      <c r="H50" s="3327"/>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76"/>
      <c r="H51" s="3265"/>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8"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8"/>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8"/>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8"/>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6"/>
      <c r="B4" s="3337"/>
      <c r="C4" s="3337"/>
      <c r="D4" s="3338"/>
      <c r="E4" s="3338"/>
      <c r="F4" s="3338"/>
      <c r="G4" s="3338"/>
      <c r="H4" s="3338"/>
      <c r="I4" s="3338"/>
      <c r="J4" s="3339"/>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40"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41"/>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3" t="s">
        <v>2838</v>
      </c>
      <c r="X8" s="333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41"/>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41"/>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41"/>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5"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40"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42"/>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35"/>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42"/>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43"/>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40"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41"/>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50"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51"/>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51"/>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52"/>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44" t="s">
        <v>2972</v>
      </c>
      <c r="B90" s="3344"/>
      <c r="C90" s="3344"/>
      <c r="D90" s="3344"/>
      <c r="E90" s="3344"/>
      <c r="F90" s="3344"/>
      <c r="G90" s="3344"/>
      <c r="H90" s="3344"/>
      <c r="I90" s="3344"/>
      <c r="J90" s="3344"/>
      <c r="K90" s="2897"/>
      <c r="L90" s="2897"/>
      <c r="M90" s="2897"/>
      <c r="N90" s="2897"/>
    </row>
    <row r="91" spans="1:37">
      <c r="A91" s="3346" t="s">
        <v>2973</v>
      </c>
      <c r="B91" s="3346" t="s">
        <v>2974</v>
      </c>
      <c r="C91" s="2851" t="s">
        <v>2975</v>
      </c>
      <c r="D91" s="2852"/>
      <c r="E91" s="2852"/>
      <c r="F91" s="2852"/>
      <c r="G91" s="2852"/>
      <c r="H91" s="2852"/>
      <c r="I91" s="2852"/>
      <c r="J91" s="2898"/>
      <c r="K91" s="2899"/>
      <c r="L91" s="2899"/>
      <c r="M91" s="2899"/>
      <c r="N91" s="2899"/>
    </row>
    <row r="92" spans="1:37">
      <c r="A92" s="3346"/>
      <c r="B92" s="334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47"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8"/>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47"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8"/>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8"/>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8"/>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8"/>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8"/>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8"/>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8"/>
      <c r="B108" s="3206"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49"/>
      <c r="B109" s="3207"/>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45" t="s">
        <v>2980</v>
      </c>
      <c r="B110" s="3345"/>
      <c r="C110" s="3345"/>
      <c r="D110" s="3345"/>
      <c r="E110" s="3345"/>
      <c r="F110" s="3345"/>
      <c r="G110" s="3345"/>
      <c r="H110" s="3345"/>
      <c r="I110" s="3345"/>
      <c r="J110" s="3345"/>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3" t="s">
        <v>183</v>
      </c>
      <c r="B18" s="882" t="s">
        <v>560</v>
      </c>
      <c r="C18" s="883" t="s">
        <v>561</v>
      </c>
      <c r="D18" s="884"/>
      <c r="E18" s="882">
        <v>1</v>
      </c>
      <c r="F18" s="885" t="s">
        <v>562</v>
      </c>
      <c r="G18" s="886"/>
      <c r="H18" s="878"/>
      <c r="I18" s="878"/>
    </row>
    <row r="19" spans="1:9" s="887" customFormat="1" ht="19.5" customHeight="1">
      <c r="A19" s="3353"/>
      <c r="B19" s="3353" t="s">
        <v>563</v>
      </c>
      <c r="C19" s="883" t="s">
        <v>564</v>
      </c>
      <c r="D19" s="884"/>
      <c r="E19" s="882">
        <v>0.9</v>
      </c>
      <c r="F19" s="885" t="s">
        <v>565</v>
      </c>
      <c r="G19" s="886"/>
      <c r="H19" s="878"/>
      <c r="I19" s="878"/>
    </row>
    <row r="20" spans="1:9" s="887" customFormat="1" ht="19.5" customHeight="1">
      <c r="A20" s="3353"/>
      <c r="B20" s="3353"/>
      <c r="C20" s="883" t="s">
        <v>566</v>
      </c>
      <c r="D20" s="884"/>
      <c r="E20" s="882">
        <v>1.1000000000000001</v>
      </c>
      <c r="F20" s="885" t="s">
        <v>567</v>
      </c>
      <c r="G20" s="886"/>
      <c r="H20" s="878"/>
      <c r="I20" s="878"/>
    </row>
    <row r="21" spans="1:9" s="887" customFormat="1" ht="19.5" customHeight="1">
      <c r="A21" s="3353"/>
      <c r="B21" s="3353"/>
      <c r="C21" s="883" t="s">
        <v>568</v>
      </c>
      <c r="D21" s="884"/>
      <c r="E21" s="882">
        <v>0.8</v>
      </c>
      <c r="F21" s="885" t="s">
        <v>569</v>
      </c>
      <c r="G21" s="886"/>
      <c r="H21" s="878"/>
      <c r="I21" s="878"/>
    </row>
    <row r="22" spans="1:9" s="887" customFormat="1" ht="19.5" customHeight="1">
      <c r="A22" s="3353"/>
      <c r="B22" s="3353"/>
      <c r="C22" s="883" t="s">
        <v>570</v>
      </c>
      <c r="D22" s="884"/>
      <c r="E22" s="882">
        <v>0.5</v>
      </c>
      <c r="F22" s="885"/>
      <c r="G22" s="886"/>
      <c r="H22" s="878"/>
      <c r="I22" s="878"/>
    </row>
    <row r="23" spans="1:9" s="887" customFormat="1" ht="19.5" customHeight="1">
      <c r="A23" s="3353" t="s">
        <v>184</v>
      </c>
      <c r="B23" s="882" t="s">
        <v>560</v>
      </c>
      <c r="C23" s="883" t="s">
        <v>571</v>
      </c>
      <c r="D23" s="884"/>
      <c r="E23" s="882">
        <v>1</v>
      </c>
      <c r="F23" s="885" t="s">
        <v>572</v>
      </c>
      <c r="G23" s="886"/>
      <c r="H23" s="878"/>
      <c r="I23" s="878"/>
    </row>
    <row r="24" spans="1:9" s="887" customFormat="1" ht="19.5" customHeight="1">
      <c r="A24" s="3353"/>
      <c r="B24" s="3353" t="s">
        <v>563</v>
      </c>
      <c r="C24" s="883" t="s">
        <v>573</v>
      </c>
      <c r="D24" s="884"/>
      <c r="E24" s="882">
        <v>0.5</v>
      </c>
      <c r="F24" s="885"/>
      <c r="G24" s="886"/>
      <c r="H24" s="878"/>
      <c r="I24" s="878"/>
    </row>
    <row r="25" spans="1:9" s="887" customFormat="1" ht="19.5" customHeight="1">
      <c r="A25" s="3353"/>
      <c r="B25" s="3353"/>
      <c r="C25" s="883" t="s">
        <v>574</v>
      </c>
      <c r="D25" s="884"/>
      <c r="E25" s="882">
        <v>1.1000000000000001</v>
      </c>
      <c r="F25" s="885"/>
      <c r="G25" s="886"/>
      <c r="H25" s="878"/>
      <c r="I25" s="878"/>
    </row>
    <row r="26" spans="1:9" s="887" customFormat="1" ht="19.5" customHeight="1">
      <c r="A26" s="3353"/>
      <c r="B26" s="3353"/>
      <c r="C26" s="883" t="s">
        <v>575</v>
      </c>
      <c r="D26" s="884"/>
      <c r="E26" s="882">
        <v>1.1000000000000001</v>
      </c>
      <c r="F26" s="885"/>
      <c r="G26" s="886"/>
      <c r="H26" s="878"/>
      <c r="I26" s="878"/>
    </row>
    <row r="27" spans="1:9" s="887" customFormat="1" ht="19.5" customHeight="1">
      <c r="A27" s="3353"/>
      <c r="B27" s="3353"/>
      <c r="C27" s="883" t="s">
        <v>576</v>
      </c>
      <c r="D27" s="884"/>
      <c r="E27" s="882">
        <v>0.9</v>
      </c>
      <c r="F27" s="885" t="s">
        <v>577</v>
      </c>
      <c r="G27" s="886"/>
      <c r="H27" s="878"/>
      <c r="I27" s="878"/>
    </row>
    <row r="28" spans="1:9" s="887" customFormat="1" ht="19.5" customHeight="1">
      <c r="A28" s="3353"/>
      <c r="B28" s="3353"/>
      <c r="C28" s="883" t="s">
        <v>578</v>
      </c>
      <c r="D28" s="884"/>
      <c r="E28" s="882">
        <v>0.9</v>
      </c>
      <c r="F28" s="885" t="s">
        <v>579</v>
      </c>
      <c r="G28" s="886"/>
      <c r="H28" s="878"/>
      <c r="I28" s="878"/>
    </row>
    <row r="29" spans="1:9" s="887" customFormat="1" ht="19.5" customHeight="1">
      <c r="A29" s="3353"/>
      <c r="B29" s="3353"/>
      <c r="C29" s="883" t="s">
        <v>580</v>
      </c>
      <c r="D29" s="884"/>
      <c r="E29" s="882">
        <v>0.9</v>
      </c>
      <c r="F29" s="885" t="s">
        <v>581</v>
      </c>
      <c r="G29" s="886"/>
      <c r="H29" s="878"/>
      <c r="I29" s="878"/>
    </row>
    <row r="30" spans="1:9" s="887" customFormat="1" ht="19.5" customHeight="1">
      <c r="A30" s="3353"/>
      <c r="B30" s="3353"/>
      <c r="C30" s="883" t="s">
        <v>582</v>
      </c>
      <c r="D30" s="884"/>
      <c r="E30" s="882">
        <v>0.9</v>
      </c>
      <c r="F30" s="885" t="s">
        <v>583</v>
      </c>
      <c r="G30" s="886"/>
      <c r="H30" s="878"/>
      <c r="I30" s="878"/>
    </row>
    <row r="31" spans="1:9" s="887" customFormat="1" ht="19.5" customHeight="1">
      <c r="A31" s="3353"/>
      <c r="B31" s="3353"/>
      <c r="C31" s="883" t="s">
        <v>584</v>
      </c>
      <c r="D31" s="884"/>
      <c r="E31" s="882">
        <v>0.8</v>
      </c>
      <c r="F31" s="885" t="s">
        <v>585</v>
      </c>
      <c r="G31" s="886"/>
      <c r="H31" s="878"/>
      <c r="I31" s="878"/>
    </row>
    <row r="32" spans="1:9" s="887" customFormat="1" ht="19.5" customHeight="1">
      <c r="A32" s="3353"/>
      <c r="B32" s="3353"/>
      <c r="C32" s="883" t="s">
        <v>586</v>
      </c>
      <c r="D32" s="884"/>
      <c r="E32" s="882">
        <v>0.8</v>
      </c>
      <c r="F32" s="885" t="s">
        <v>587</v>
      </c>
      <c r="G32" s="886"/>
      <c r="H32" s="878"/>
      <c r="I32" s="878"/>
    </row>
    <row r="33" spans="1:9" s="887" customFormat="1" ht="19.5" customHeight="1">
      <c r="A33" s="3353" t="s">
        <v>185</v>
      </c>
      <c r="B33" s="882" t="s">
        <v>560</v>
      </c>
      <c r="C33" s="883" t="s">
        <v>588</v>
      </c>
      <c r="D33" s="884"/>
      <c r="E33" s="882">
        <v>1</v>
      </c>
      <c r="F33" s="885" t="s">
        <v>589</v>
      </c>
      <c r="G33" s="886"/>
      <c r="H33" s="878"/>
      <c r="I33" s="878"/>
    </row>
    <row r="34" spans="1:9" s="887" customFormat="1" ht="19.5" customHeight="1">
      <c r="A34" s="3353"/>
      <c r="B34" s="882" t="s">
        <v>563</v>
      </c>
      <c r="C34" s="883" t="s">
        <v>590</v>
      </c>
      <c r="D34" s="884"/>
      <c r="E34" s="882">
        <v>1.5</v>
      </c>
      <c r="F34" s="885" t="s">
        <v>591</v>
      </c>
      <c r="G34" s="886"/>
      <c r="H34" s="878"/>
      <c r="I34" s="878"/>
    </row>
    <row r="35" spans="1:9" s="887" customFormat="1" ht="19.5" customHeight="1">
      <c r="A35" s="3353" t="s">
        <v>186</v>
      </c>
      <c r="B35" s="882" t="s">
        <v>560</v>
      </c>
      <c r="C35" s="883" t="s">
        <v>592</v>
      </c>
      <c r="D35" s="884"/>
      <c r="E35" s="882">
        <v>1</v>
      </c>
      <c r="F35" s="885" t="s">
        <v>593</v>
      </c>
      <c r="G35" s="886"/>
      <c r="H35" s="878"/>
      <c r="I35" s="878"/>
    </row>
    <row r="36" spans="1:9" s="887" customFormat="1" ht="19.5" customHeight="1">
      <c r="A36" s="3353"/>
      <c r="B36" s="3353" t="s">
        <v>563</v>
      </c>
      <c r="C36" s="883" t="s">
        <v>594</v>
      </c>
      <c r="D36" s="884"/>
      <c r="E36" s="882">
        <v>1</v>
      </c>
      <c r="F36" s="885" t="s">
        <v>595</v>
      </c>
      <c r="G36" s="886"/>
      <c r="H36" s="878"/>
      <c r="I36" s="878"/>
    </row>
    <row r="37" spans="1:9" s="887" customFormat="1" ht="19.5" customHeight="1">
      <c r="A37" s="3353"/>
      <c r="B37" s="3353"/>
      <c r="C37" s="883" t="s">
        <v>596</v>
      </c>
      <c r="D37" s="884"/>
      <c r="E37" s="882">
        <v>1.5</v>
      </c>
      <c r="F37" s="885" t="s">
        <v>597</v>
      </c>
      <c r="G37" s="886"/>
      <c r="H37" s="878"/>
      <c r="I37" s="878"/>
    </row>
    <row r="38" spans="1:9" s="887" customFormat="1" ht="19.5" customHeight="1">
      <c r="A38" s="3353"/>
      <c r="B38" s="3353"/>
      <c r="C38" s="883" t="s">
        <v>598</v>
      </c>
      <c r="D38" s="884"/>
      <c r="E38" s="882">
        <v>1</v>
      </c>
      <c r="F38" s="885" t="s">
        <v>599</v>
      </c>
      <c r="G38" s="886"/>
      <c r="H38" s="878"/>
      <c r="I38" s="878"/>
    </row>
    <row r="39" spans="1:9" s="887" customFormat="1" ht="19.5" customHeight="1">
      <c r="A39" s="3353"/>
      <c r="B39" s="33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3" t="s">
        <v>614</v>
      </c>
      <c r="C61" s="818" t="s">
        <v>615</v>
      </c>
      <c r="D61" s="818" t="s">
        <v>616</v>
      </c>
      <c r="E61" s="895">
        <v>0.5</v>
      </c>
      <c r="F61" s="882">
        <v>80</v>
      </c>
    </row>
    <row r="62" spans="1:8" s="878" customFormat="1" ht="24">
      <c r="A62" s="882">
        <v>2</v>
      </c>
      <c r="B62" s="3353"/>
      <c r="C62" s="818" t="s">
        <v>617</v>
      </c>
      <c r="D62" s="818" t="s">
        <v>618</v>
      </c>
      <c r="E62" s="895">
        <v>0.5</v>
      </c>
      <c r="F62" s="882">
        <v>80</v>
      </c>
    </row>
    <row r="63" spans="1:8" s="878" customFormat="1" ht="36">
      <c r="A63" s="882">
        <v>3</v>
      </c>
      <c r="B63" s="3353"/>
      <c r="C63" s="818" t="s">
        <v>619</v>
      </c>
      <c r="D63" s="818" t="s">
        <v>620</v>
      </c>
      <c r="E63" s="895">
        <v>0.5</v>
      </c>
      <c r="F63" s="882">
        <v>80</v>
      </c>
    </row>
    <row r="64" spans="1:8" s="878" customFormat="1" ht="36">
      <c r="A64" s="882">
        <v>4</v>
      </c>
      <c r="B64" s="3353"/>
      <c r="C64" s="818" t="s">
        <v>621</v>
      </c>
      <c r="D64" s="818" t="s">
        <v>622</v>
      </c>
      <c r="E64" s="895">
        <v>0.4</v>
      </c>
      <c r="F64" s="882">
        <v>60</v>
      </c>
    </row>
    <row r="65" spans="1:6" s="878" customFormat="1" ht="36">
      <c r="A65" s="882">
        <v>5</v>
      </c>
      <c r="B65" s="3353"/>
      <c r="C65" s="818" t="s">
        <v>623</v>
      </c>
      <c r="D65" s="818" t="s">
        <v>624</v>
      </c>
      <c r="E65" s="895">
        <v>0.2</v>
      </c>
      <c r="F65" s="882">
        <v>30</v>
      </c>
    </row>
    <row r="66" spans="1:6" s="878" customFormat="1" ht="36">
      <c r="A66" s="882">
        <v>6</v>
      </c>
      <c r="B66" s="3353"/>
      <c r="C66" s="818" t="s">
        <v>625</v>
      </c>
      <c r="D66" s="818" t="s">
        <v>626</v>
      </c>
      <c r="E66" s="895">
        <v>0.3</v>
      </c>
      <c r="F66" s="882">
        <v>50</v>
      </c>
    </row>
    <row r="67" spans="1:6" s="878" customFormat="1" ht="36">
      <c r="A67" s="882">
        <v>7</v>
      </c>
      <c r="B67" s="3353"/>
      <c r="C67" s="818" t="s">
        <v>627</v>
      </c>
      <c r="D67" s="818" t="s">
        <v>628</v>
      </c>
      <c r="E67" s="895">
        <v>0.2</v>
      </c>
      <c r="F67" s="882">
        <v>30</v>
      </c>
    </row>
    <row r="68" spans="1:6" s="878" customFormat="1" ht="36">
      <c r="A68" s="882">
        <v>8</v>
      </c>
      <c r="B68" s="3353"/>
      <c r="C68" s="818" t="s">
        <v>629</v>
      </c>
      <c r="D68" s="818" t="s">
        <v>630</v>
      </c>
      <c r="E68" s="895">
        <v>0.2</v>
      </c>
      <c r="F68" s="882">
        <v>30</v>
      </c>
    </row>
    <row r="69" spans="1:6" s="878" customFormat="1" ht="36">
      <c r="A69" s="882">
        <v>9</v>
      </c>
      <c r="B69" s="3353"/>
      <c r="C69" s="818" t="s">
        <v>631</v>
      </c>
      <c r="D69" s="818" t="s">
        <v>632</v>
      </c>
      <c r="E69" s="895">
        <v>0.2</v>
      </c>
      <c r="F69" s="882">
        <v>30</v>
      </c>
    </row>
    <row r="70" spans="1:6" s="878" customFormat="1" ht="48">
      <c r="A70" s="882">
        <v>10</v>
      </c>
      <c r="B70" s="3353"/>
      <c r="C70" s="818" t="s">
        <v>633</v>
      </c>
      <c r="D70" s="818" t="s">
        <v>634</v>
      </c>
      <c r="E70" s="895">
        <v>0.2</v>
      </c>
      <c r="F70" s="882">
        <v>30</v>
      </c>
    </row>
    <row r="71" spans="1:6" s="878" customFormat="1" ht="48">
      <c r="A71" s="882">
        <v>11</v>
      </c>
      <c r="B71" s="3353"/>
      <c r="C71" s="818" t="s">
        <v>635</v>
      </c>
      <c r="D71" s="818" t="s">
        <v>636</v>
      </c>
      <c r="E71" s="895">
        <v>0.2</v>
      </c>
      <c r="F71" s="882">
        <v>30</v>
      </c>
    </row>
    <row r="72" spans="1:6" s="878" customFormat="1" ht="36">
      <c r="A72" s="882">
        <v>12</v>
      </c>
      <c r="B72" s="3353"/>
      <c r="C72" s="818" t="s">
        <v>637</v>
      </c>
      <c r="D72" s="818" t="s">
        <v>638</v>
      </c>
      <c r="E72" s="895">
        <v>0.5</v>
      </c>
      <c r="F72" s="882">
        <v>80</v>
      </c>
    </row>
    <row r="73" spans="1:6" s="878" customFormat="1" ht="24">
      <c r="A73" s="882">
        <v>13</v>
      </c>
      <c r="B73" s="3353"/>
      <c r="C73" s="818" t="s">
        <v>639</v>
      </c>
      <c r="D73" s="818" t="s">
        <v>640</v>
      </c>
      <c r="E73" s="895">
        <v>0.4</v>
      </c>
      <c r="F73" s="882">
        <v>60</v>
      </c>
    </row>
    <row r="74" spans="1:6" s="878" customFormat="1" ht="24">
      <c r="A74" s="882">
        <v>14</v>
      </c>
      <c r="B74" s="3353"/>
      <c r="C74" s="818" t="s">
        <v>641</v>
      </c>
      <c r="D74" s="818" t="s">
        <v>642</v>
      </c>
      <c r="E74" s="895">
        <v>0.2</v>
      </c>
      <c r="F74" s="882">
        <v>30</v>
      </c>
    </row>
    <row r="75" spans="1:6" s="878" customFormat="1" ht="24">
      <c r="A75" s="882">
        <v>15</v>
      </c>
      <c r="B75" s="3353"/>
      <c r="C75" s="818" t="s">
        <v>643</v>
      </c>
      <c r="D75" s="818" t="s">
        <v>644</v>
      </c>
      <c r="E75" s="895">
        <v>0.2</v>
      </c>
      <c r="F75" s="882">
        <v>30</v>
      </c>
    </row>
    <row r="76" spans="1:6" s="878" customFormat="1" ht="24">
      <c r="A76" s="882">
        <v>16</v>
      </c>
      <c r="B76" s="3353" t="s">
        <v>645</v>
      </c>
      <c r="C76" s="818" t="s">
        <v>646</v>
      </c>
      <c r="D76" s="818" t="s">
        <v>647</v>
      </c>
      <c r="E76" s="895">
        <v>0.5</v>
      </c>
      <c r="F76" s="882">
        <v>80</v>
      </c>
    </row>
    <row r="77" spans="1:6" s="878" customFormat="1" ht="24">
      <c r="A77" s="882">
        <v>17</v>
      </c>
      <c r="B77" s="3353"/>
      <c r="C77" s="818" t="s">
        <v>648</v>
      </c>
      <c r="D77" s="818" t="s">
        <v>649</v>
      </c>
      <c r="E77" s="895">
        <v>0.5</v>
      </c>
      <c r="F77" s="882">
        <v>80</v>
      </c>
    </row>
    <row r="78" spans="1:6" s="878" customFormat="1" ht="24">
      <c r="A78" s="882">
        <v>18</v>
      </c>
      <c r="B78" s="3353"/>
      <c r="C78" s="818" t="s">
        <v>650</v>
      </c>
      <c r="D78" s="818" t="s">
        <v>651</v>
      </c>
      <c r="E78" s="895">
        <v>0.2</v>
      </c>
      <c r="F78" s="882">
        <v>30</v>
      </c>
    </row>
    <row r="79" spans="1:6" s="878" customFormat="1" ht="24">
      <c r="A79" s="882">
        <v>19</v>
      </c>
      <c r="B79" s="3353"/>
      <c r="C79" s="818" t="s">
        <v>652</v>
      </c>
      <c r="D79" s="818" t="s">
        <v>653</v>
      </c>
      <c r="E79" s="895">
        <v>0.5</v>
      </c>
      <c r="F79" s="882">
        <v>80</v>
      </c>
    </row>
    <row r="80" spans="1:6" s="878" customFormat="1" ht="36">
      <c r="A80" s="882">
        <v>20</v>
      </c>
      <c r="B80" s="3353"/>
      <c r="C80" s="818" t="s">
        <v>654</v>
      </c>
      <c r="D80" s="818" t="s">
        <v>655</v>
      </c>
      <c r="E80" s="895">
        <v>0.2</v>
      </c>
      <c r="F80" s="882">
        <v>30</v>
      </c>
    </row>
    <row r="81" spans="1:6" s="878" customFormat="1" ht="36">
      <c r="A81" s="882">
        <v>21</v>
      </c>
      <c r="B81" s="3353"/>
      <c r="C81" s="818" t="s">
        <v>656</v>
      </c>
      <c r="D81" s="818" t="s">
        <v>657</v>
      </c>
      <c r="E81" s="895">
        <v>0.2</v>
      </c>
      <c r="F81" s="882">
        <v>30</v>
      </c>
    </row>
    <row r="82" spans="1:6" s="878" customFormat="1" ht="48">
      <c r="A82" s="882">
        <v>22</v>
      </c>
      <c r="B82" s="3353"/>
      <c r="C82" s="818" t="s">
        <v>658</v>
      </c>
      <c r="D82" s="818" t="s">
        <v>659</v>
      </c>
      <c r="E82" s="895">
        <v>0.2</v>
      </c>
      <c r="F82" s="882">
        <v>30</v>
      </c>
    </row>
    <row r="83" spans="1:6" s="878" customFormat="1" ht="48">
      <c r="A83" s="882">
        <v>23</v>
      </c>
      <c r="B83" s="3353"/>
      <c r="C83" s="818" t="s">
        <v>660</v>
      </c>
      <c r="D83" s="818" t="s">
        <v>661</v>
      </c>
      <c r="E83" s="895">
        <v>0.2</v>
      </c>
      <c r="F83" s="882">
        <v>30</v>
      </c>
    </row>
    <row r="84" spans="1:6" s="878" customFormat="1" ht="36">
      <c r="A84" s="882">
        <v>24</v>
      </c>
      <c r="B84" s="3353"/>
      <c r="C84" s="818" t="s">
        <v>662</v>
      </c>
      <c r="D84" s="818" t="s">
        <v>663</v>
      </c>
      <c r="E84" s="895">
        <v>0.2</v>
      </c>
      <c r="F84" s="882">
        <v>30</v>
      </c>
    </row>
    <row r="85" spans="1:6" s="878" customFormat="1" ht="36">
      <c r="A85" s="882">
        <v>25</v>
      </c>
      <c r="B85" s="3353"/>
      <c r="C85" s="818" t="s">
        <v>664</v>
      </c>
      <c r="D85" s="818" t="s">
        <v>665</v>
      </c>
      <c r="E85" s="895">
        <v>0.5</v>
      </c>
      <c r="F85" s="882">
        <v>80</v>
      </c>
    </row>
    <row r="86" spans="1:6" s="878" customFormat="1" ht="36">
      <c r="A86" s="882">
        <v>26</v>
      </c>
      <c r="B86" s="3353"/>
      <c r="C86" s="818" t="s">
        <v>666</v>
      </c>
      <c r="D86" s="818" t="s">
        <v>667</v>
      </c>
      <c r="E86" s="895">
        <v>0.2</v>
      </c>
      <c r="F86" s="882">
        <v>30</v>
      </c>
    </row>
    <row r="87" spans="1:6" s="878" customFormat="1" ht="36">
      <c r="A87" s="882">
        <v>27</v>
      </c>
      <c r="B87" s="3353"/>
      <c r="C87" s="818" t="s">
        <v>668</v>
      </c>
      <c r="D87" s="818" t="s">
        <v>669</v>
      </c>
      <c r="E87" s="895">
        <v>0.2</v>
      </c>
      <c r="F87" s="882">
        <v>30</v>
      </c>
    </row>
    <row r="88" spans="1:6" s="878" customFormat="1" ht="36">
      <c r="A88" s="882">
        <v>28</v>
      </c>
      <c r="B88" s="3353"/>
      <c r="C88" s="818" t="s">
        <v>670</v>
      </c>
      <c r="D88" s="818" t="s">
        <v>671</v>
      </c>
      <c r="E88" s="895">
        <v>0.2</v>
      </c>
      <c r="F88" s="882">
        <v>30</v>
      </c>
    </row>
    <row r="89" spans="1:6" s="878" customFormat="1" ht="24">
      <c r="A89" s="882">
        <v>29</v>
      </c>
      <c r="B89" s="3353"/>
      <c r="C89" s="818" t="s">
        <v>672</v>
      </c>
      <c r="D89" s="818" t="s">
        <v>673</v>
      </c>
      <c r="E89" s="895">
        <v>0.2</v>
      </c>
      <c r="F89" s="882">
        <v>30</v>
      </c>
    </row>
    <row r="90" spans="1:6" s="878" customFormat="1" ht="24">
      <c r="A90" s="882">
        <v>30</v>
      </c>
      <c r="B90" s="3353"/>
      <c r="C90" s="818" t="s">
        <v>674</v>
      </c>
      <c r="D90" s="818" t="s">
        <v>675</v>
      </c>
      <c r="E90" s="895">
        <v>0.2</v>
      </c>
      <c r="F90" s="882">
        <v>30</v>
      </c>
    </row>
    <row r="91" spans="1:6" s="878" customFormat="1" ht="36">
      <c r="A91" s="882">
        <v>31</v>
      </c>
      <c r="B91" s="3353"/>
      <c r="C91" s="818" t="s">
        <v>676</v>
      </c>
      <c r="D91" s="818" t="s">
        <v>677</v>
      </c>
      <c r="E91" s="895">
        <v>0.2</v>
      </c>
      <c r="F91" s="882">
        <v>30</v>
      </c>
    </row>
    <row r="92" spans="1:6" s="878" customFormat="1" ht="24">
      <c r="A92" s="882">
        <v>32</v>
      </c>
      <c r="B92" s="3353" t="s">
        <v>678</v>
      </c>
      <c r="C92" s="882" t="s">
        <v>679</v>
      </c>
      <c r="D92" s="818" t="s">
        <v>680</v>
      </c>
      <c r="E92" s="895">
        <v>0.2</v>
      </c>
      <c r="F92" s="882">
        <v>30</v>
      </c>
    </row>
    <row r="93" spans="1:6" s="878" customFormat="1" ht="36">
      <c r="A93" s="882">
        <v>33</v>
      </c>
      <c r="B93" s="3353"/>
      <c r="C93" s="882" t="s">
        <v>681</v>
      </c>
      <c r="D93" s="818" t="s">
        <v>682</v>
      </c>
      <c r="E93" s="895">
        <v>0.2</v>
      </c>
      <c r="F93" s="882">
        <v>30</v>
      </c>
    </row>
    <row r="94" spans="1:6" s="878" customFormat="1" ht="48">
      <c r="A94" s="882">
        <v>34</v>
      </c>
      <c r="B94" s="3353"/>
      <c r="C94" s="882" t="s">
        <v>683</v>
      </c>
      <c r="D94" s="818" t="s">
        <v>684</v>
      </c>
      <c r="E94" s="895">
        <v>0.2</v>
      </c>
      <c r="F94" s="882">
        <v>30</v>
      </c>
    </row>
    <row r="95" spans="1:6" s="878" customFormat="1" ht="36">
      <c r="A95" s="882">
        <v>35</v>
      </c>
      <c r="B95" s="3353"/>
      <c r="C95" s="882" t="s">
        <v>685</v>
      </c>
      <c r="D95" s="818" t="s">
        <v>686</v>
      </c>
      <c r="E95" s="895">
        <v>0.2</v>
      </c>
      <c r="F95" s="882">
        <v>30</v>
      </c>
    </row>
    <row r="96" spans="1:6" s="878" customFormat="1" ht="48">
      <c r="A96" s="882">
        <v>36</v>
      </c>
      <c r="B96" s="3353"/>
      <c r="C96" s="818" t="s">
        <v>687</v>
      </c>
      <c r="D96" s="818" t="s">
        <v>688</v>
      </c>
      <c r="E96" s="895">
        <v>0.2</v>
      </c>
      <c r="F96" s="882">
        <v>30</v>
      </c>
    </row>
    <row r="97" spans="1:6" s="878" customFormat="1" ht="36">
      <c r="A97" s="882">
        <v>37</v>
      </c>
      <c r="B97" s="3353"/>
      <c r="C97" s="882" t="s">
        <v>689</v>
      </c>
      <c r="D97" s="818" t="s">
        <v>690</v>
      </c>
      <c r="E97" s="895">
        <v>0.2</v>
      </c>
      <c r="F97" s="882">
        <v>30</v>
      </c>
    </row>
    <row r="98" spans="1:6" s="878" customFormat="1" ht="36">
      <c r="A98" s="882">
        <v>38</v>
      </c>
      <c r="B98" s="3353"/>
      <c r="C98" s="882" t="s">
        <v>691</v>
      </c>
      <c r="D98" s="818" t="s">
        <v>692</v>
      </c>
      <c r="E98" s="895">
        <v>0.2</v>
      </c>
      <c r="F98" s="882">
        <v>30</v>
      </c>
    </row>
    <row r="99" spans="1:6" s="878" customFormat="1" ht="36">
      <c r="A99" s="882">
        <v>39</v>
      </c>
      <c r="B99" s="3353" t="s">
        <v>693</v>
      </c>
      <c r="C99" s="882" t="s">
        <v>694</v>
      </c>
      <c r="D99" s="818" t="s">
        <v>695</v>
      </c>
      <c r="E99" s="895">
        <v>0.3</v>
      </c>
      <c r="F99" s="882">
        <v>50</v>
      </c>
    </row>
    <row r="100" spans="1:6" s="878" customFormat="1" ht="24">
      <c r="A100" s="882">
        <v>40</v>
      </c>
      <c r="B100" s="3353"/>
      <c r="C100" s="882" t="s">
        <v>696</v>
      </c>
      <c r="D100" s="818" t="s">
        <v>697</v>
      </c>
      <c r="E100" s="895">
        <v>0.2</v>
      </c>
      <c r="F100" s="882">
        <v>30</v>
      </c>
    </row>
    <row r="101" spans="1:6" s="878" customFormat="1" ht="36">
      <c r="A101" s="882">
        <v>41</v>
      </c>
      <c r="B101" s="33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3" t="s">
        <v>708</v>
      </c>
      <c r="C105" s="882" t="s">
        <v>709</v>
      </c>
      <c r="D105" s="818" t="s">
        <v>710</v>
      </c>
      <c r="E105" s="895">
        <v>0.2</v>
      </c>
      <c r="F105" s="882">
        <v>30</v>
      </c>
    </row>
    <row r="106" spans="1:6" s="878" customFormat="1" ht="36">
      <c r="A106" s="882">
        <v>46</v>
      </c>
      <c r="B106" s="3353"/>
      <c r="C106" s="882" t="s">
        <v>711</v>
      </c>
      <c r="D106" s="818" t="s">
        <v>712</v>
      </c>
      <c r="E106" s="895">
        <v>0.2</v>
      </c>
      <c r="F106" s="882">
        <v>30</v>
      </c>
    </row>
    <row r="107" spans="1:6" s="878" customFormat="1" ht="36">
      <c r="A107" s="882">
        <v>47</v>
      </c>
      <c r="B107" s="3353" t="s">
        <v>713</v>
      </c>
      <c r="C107" s="882" t="s">
        <v>714</v>
      </c>
      <c r="D107" s="818" t="s">
        <v>715</v>
      </c>
      <c r="E107" s="895">
        <v>0.3</v>
      </c>
      <c r="F107" s="882">
        <v>50</v>
      </c>
    </row>
    <row r="108" spans="1:6" s="878" customFormat="1" ht="36">
      <c r="A108" s="882">
        <v>48</v>
      </c>
      <c r="B108" s="33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3" t="s">
        <v>724</v>
      </c>
      <c r="C111" s="882" t="s">
        <v>725</v>
      </c>
      <c r="D111" s="818" t="s">
        <v>726</v>
      </c>
      <c r="E111" s="895">
        <v>0.2</v>
      </c>
      <c r="F111" s="882">
        <v>30</v>
      </c>
    </row>
    <row r="112" spans="1:6" s="878" customFormat="1" ht="24">
      <c r="A112" s="882">
        <v>52</v>
      </c>
      <c r="B112" s="3353"/>
      <c r="C112" s="882" t="s">
        <v>727</v>
      </c>
      <c r="D112" s="818" t="s">
        <v>728</v>
      </c>
      <c r="E112" s="895">
        <v>0.2</v>
      </c>
      <c r="F112" s="882">
        <v>30</v>
      </c>
    </row>
    <row r="113" spans="1:6" s="878" customFormat="1" ht="24">
      <c r="A113" s="882">
        <v>53</v>
      </c>
      <c r="B113" s="33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3" t="s">
        <v>737</v>
      </c>
      <c r="C116" s="882" t="s">
        <v>738</v>
      </c>
      <c r="D116" s="818" t="s">
        <v>739</v>
      </c>
      <c r="E116" s="895">
        <v>0.2</v>
      </c>
      <c r="F116" s="882">
        <v>30</v>
      </c>
    </row>
    <row r="117" spans="1:6" ht="36">
      <c r="A117" s="882">
        <v>57</v>
      </c>
      <c r="B117" s="33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64"/>
      <c r="B4" s="3039" t="s">
        <v>1626</v>
      </c>
      <c r="C4" s="3039"/>
      <c r="D4" s="3039"/>
      <c r="E4" s="1964"/>
    </row>
    <row r="5" spans="1:5" ht="16.5" thickTop="1">
      <c r="A5" s="1962"/>
      <c r="B5" s="3037" t="s">
        <v>1618</v>
      </c>
      <c r="C5" s="1965" t="s">
        <v>1619</v>
      </c>
      <c r="D5" s="1043">
        <f ca="1">结果表!H101</f>
        <v>19085</v>
      </c>
      <c r="E5" s="1962"/>
    </row>
    <row r="6" spans="1:5" ht="15.75">
      <c r="A6" s="1962"/>
      <c r="B6" s="3037"/>
      <c r="C6" s="1965" t="s">
        <v>1620</v>
      </c>
      <c r="D6" s="1043" t="str">
        <f ca="1">NUMBERSTRING(INT(D5*10000),2)&amp;"元整"</f>
        <v>壹亿玖仟零捌拾伍万元整</v>
      </c>
      <c r="E6" s="1962"/>
    </row>
    <row r="7" spans="1:5" ht="15.75">
      <c r="A7" s="1962"/>
      <c r="B7" s="3042"/>
      <c r="C7" s="1966" t="s">
        <v>1621</v>
      </c>
      <c r="D7" s="1044">
        <f ca="1">结果表!H102</f>
        <v>9334</v>
      </c>
      <c r="E7" s="1962"/>
    </row>
    <row r="8" spans="1:5" ht="15.75">
      <c r="A8" s="1962"/>
      <c r="B8" s="3043" t="str">
        <f>结果表!E103</f>
        <v>2.估价师知悉的法定优先受偿款</v>
      </c>
      <c r="C8" s="1967" t="s">
        <v>1622</v>
      </c>
      <c r="D8" s="1044">
        <f>结果表!H103</f>
        <v>0</v>
      </c>
      <c r="E8" s="1962"/>
    </row>
    <row r="9" spans="1:5" ht="15.75">
      <c r="A9" s="1962"/>
      <c r="B9" s="304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6" t="str">
        <f>结果表!E107</f>
        <v>3.房地产抵押价值</v>
      </c>
      <c r="C13" s="1970" t="s">
        <v>1619</v>
      </c>
      <c r="D13" s="1046">
        <f ca="1">结果表!H107</f>
        <v>19085</v>
      </c>
      <c r="E13" s="1962"/>
    </row>
    <row r="14" spans="1:5" ht="15.75">
      <c r="A14" s="1962"/>
      <c r="B14" s="3037"/>
      <c r="C14" s="1965" t="s">
        <v>1620</v>
      </c>
      <c r="D14" s="1043" t="str">
        <f ca="1">NUMBERSTRING(INT(D13*10000),2)&amp;"元整"</f>
        <v>壹亿玖仟零捌拾伍万元整</v>
      </c>
      <c r="E14" s="1962"/>
    </row>
    <row r="15" spans="1:5" ht="15">
      <c r="A15" s="1962"/>
      <c r="B15" s="3042"/>
      <c r="C15" s="1966" t="s">
        <v>1630</v>
      </c>
      <c r="D15" s="1055">
        <f ca="1">结果表!H108</f>
        <v>9334</v>
      </c>
      <c r="E15" s="1962"/>
    </row>
    <row r="16" spans="1:5" ht="15">
      <c r="A16" s="1962"/>
      <c r="B16" s="3043" t="str">
        <f>结果表!E109</f>
        <v>——</v>
      </c>
      <c r="C16" s="1970" t="s">
        <v>1631</v>
      </c>
      <c r="D16" s="1971" t="str">
        <f>结果表!H109</f>
        <v>——</v>
      </c>
      <c r="E16" s="1962"/>
    </row>
    <row r="17" spans="1:5" ht="15.75">
      <c r="A17" s="1962"/>
      <c r="B17" s="3044"/>
      <c r="C17" s="1965" t="s">
        <v>1632</v>
      </c>
      <c r="D17" s="1043" t="e">
        <f>NUMBERSTRING(INT(D16*10000),2)&amp;"元整"</f>
        <v>#VALUE!</v>
      </c>
      <c r="E17" s="1962"/>
    </row>
    <row r="18" spans="1:5" ht="15">
      <c r="A18" s="1962"/>
      <c r="B18" s="3045"/>
      <c r="C18" s="1966" t="s">
        <v>1621</v>
      </c>
      <c r="D18" s="1055" t="str">
        <f>结果表!H110</f>
        <v>——</v>
      </c>
      <c r="E18" s="1962"/>
    </row>
    <row r="19" spans="1:5" ht="15.75">
      <c r="A19" s="1962"/>
      <c r="B19" s="3036" t="str">
        <f>结果表!E111</f>
        <v>——</v>
      </c>
      <c r="C19" s="1970" t="s">
        <v>1619</v>
      </c>
      <c r="D19" s="1044" t="str">
        <f>结果表!H111</f>
        <v>——</v>
      </c>
      <c r="E19" s="1962"/>
    </row>
    <row r="20" spans="1:5" ht="15.75">
      <c r="A20" s="1962"/>
      <c r="B20" s="3037"/>
      <c r="C20" s="1965" t="s">
        <v>1632</v>
      </c>
      <c r="D20" s="1043" t="e">
        <f>NUMBERSTRING(INT(D19*10000),2)&amp;"元整"</f>
        <v>#VALUE!</v>
      </c>
      <c r="E20" s="1962"/>
    </row>
    <row r="21" spans="1:5" ht="15.75" thickBot="1">
      <c r="A21" s="1962"/>
      <c r="B21" s="303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59" t="s">
        <v>1146</v>
      </c>
      <c r="C1" s="3359"/>
      <c r="D1" s="3359"/>
      <c r="E1" s="3359"/>
      <c r="F1" s="3359"/>
      <c r="G1" s="3358" t="s">
        <v>1147</v>
      </c>
      <c r="H1" s="3358"/>
      <c r="I1" s="3358"/>
      <c r="J1" s="3358"/>
      <c r="K1" s="3358"/>
      <c r="L1" s="3358"/>
      <c r="N1" s="3358" t="s">
        <v>1148</v>
      </c>
      <c r="O1" s="3358"/>
      <c r="P1" s="3358"/>
      <c r="Q1" s="3358"/>
      <c r="R1" s="1449"/>
      <c r="S1" s="3358" t="s">
        <v>1149</v>
      </c>
      <c r="T1" s="3358"/>
      <c r="U1" s="3358"/>
      <c r="V1" s="3358"/>
      <c r="X1" s="3357" t="s">
        <v>1150</v>
      </c>
      <c r="Y1" s="3358"/>
      <c r="Z1" s="3358"/>
      <c r="AA1" s="3358"/>
      <c r="AB1" s="3358"/>
      <c r="AD1" s="3357" t="s">
        <v>1151</v>
      </c>
      <c r="AE1" s="3358"/>
      <c r="AF1" s="3358"/>
      <c r="AG1" s="3358"/>
      <c r="AH1" s="335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5">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4"/>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0">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4"/>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0">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1">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2"/>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2"/>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3"/>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5">
        <f>[1]系统读取表!B5*10000</f>
        <v>283390000</v>
      </c>
      <c r="F23" s="3365"/>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7" t="s">
        <v>3006</v>
      </c>
      <c r="D1" s="3368"/>
      <c r="E1" s="3368"/>
      <c r="F1" s="3368"/>
      <c r="G1" s="3368"/>
      <c r="H1" s="3368"/>
      <c r="I1" s="3368"/>
      <c r="J1" s="3368"/>
      <c r="K1" s="3368"/>
      <c r="L1" s="3368"/>
      <c r="M1" s="3368"/>
      <c r="N1" s="3368"/>
      <c r="O1" s="3368"/>
      <c r="P1" s="3368"/>
      <c r="Q1" s="3368"/>
      <c r="R1" s="3368"/>
      <c r="S1" s="3369"/>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28" t="s">
        <v>33</v>
      </c>
      <c r="D22" s="3229"/>
      <c r="E22" s="3229"/>
      <c r="F22" s="3229"/>
      <c r="G22" s="3229"/>
      <c r="H22" s="3229"/>
      <c r="I22" s="3229"/>
      <c r="J22" s="3229"/>
      <c r="K22" s="3229"/>
      <c r="L22" s="3229"/>
      <c r="M22" s="3229"/>
      <c r="N22" s="3229"/>
      <c r="O22" s="3229"/>
      <c r="P22" s="3229"/>
      <c r="Q22" s="3366"/>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39108</v>
      </c>
      <c r="C2" s="2" t="s">
        <v>133</v>
      </c>
      <c r="D2" s="243"/>
      <c r="E2" s="243"/>
      <c r="F2" s="243"/>
      <c r="G2" s="243"/>
    </row>
    <row r="3" spans="1:7" s="244" customFormat="1" ht="18" customHeight="1" thickBot="1">
      <c r="A3" s="247" t="s">
        <v>85</v>
      </c>
      <c r="B3" s="248">
        <f ca="1">ROUND(B2*10000/'数据-汇总表'!E3,0)</f>
        <v>19126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3164</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30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4280</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4280</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5710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5112</v>
      </c>
      <c r="D34" s="261"/>
      <c r="E34" s="264"/>
      <c r="F34" s="301">
        <f>IF('数据-取费表'!B24=0,1,'数据-取费表'!N16)</f>
        <v>1</v>
      </c>
      <c r="G34" s="263" t="s">
        <v>116</v>
      </c>
    </row>
    <row r="35" spans="1:7" ht="13.5" customHeight="1">
      <c r="A35" s="954" t="s">
        <v>796</v>
      </c>
      <c r="B35" s="259" t="s">
        <v>60</v>
      </c>
      <c r="C35" s="264">
        <f>ROUND(C34*F35,0)</f>
        <v>153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77</v>
      </c>
      <c r="D38" s="264"/>
      <c r="E38" s="264"/>
      <c r="F38" s="303">
        <f>'数据-取费表'!B36</f>
        <v>1.4999999999999999E-2</v>
      </c>
      <c r="G38" s="263" t="s">
        <v>117</v>
      </c>
    </row>
    <row r="39" spans="1:7" s="258" customFormat="1" ht="13.5" customHeight="1">
      <c r="A39" s="951" t="s">
        <v>783</v>
      </c>
      <c r="B39" s="254" t="s">
        <v>104</v>
      </c>
      <c r="C39" s="276">
        <f>ROUND(C33*F20,0)</f>
        <v>114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420</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412</v>
      </c>
      <c r="D42" s="282"/>
      <c r="E42" s="282"/>
      <c r="F42" s="283"/>
      <c r="G42" s="3233" t="s">
        <v>121</v>
      </c>
    </row>
    <row r="43" spans="1:7" ht="13.5" customHeight="1">
      <c r="A43" s="954" t="s">
        <v>792</v>
      </c>
      <c r="B43" s="259" t="s">
        <v>1061</v>
      </c>
      <c r="C43" s="282">
        <f ca="1">ROUND(IF('数据-取费表'!B22&lt;=1,C39*F22*'数据-取费表'!B21/2,C39*(POWER((1+F22),'数据-取费表'!B21/2)-1)),0)</f>
        <v>8</v>
      </c>
      <c r="D43" s="282"/>
      <c r="E43" s="282"/>
      <c r="F43" s="283"/>
      <c r="G43" s="3234"/>
    </row>
    <row r="44" spans="1:7" ht="13.5" customHeight="1">
      <c r="A44" s="954" t="s">
        <v>793</v>
      </c>
      <c r="B44" s="259" t="s">
        <v>1063</v>
      </c>
      <c r="C44" s="282">
        <f ca="1">ROUND(IF('数据-取费表'!B22&lt;=1,C40*F22*'数据-取费表'!B21/2,C40*(POWER((1+F22),'数据-取费表'!B21/2)-1)),4)</f>
        <v>1.4E-3</v>
      </c>
      <c r="D44" s="282"/>
      <c r="E44" s="282"/>
      <c r="F44" s="283"/>
      <c r="G44" s="3235"/>
    </row>
    <row r="45" spans="1:7" s="258" customFormat="1" ht="13.5" customHeight="1">
      <c r="A45" s="951" t="s">
        <v>786</v>
      </c>
      <c r="B45" s="288" t="s">
        <v>112</v>
      </c>
      <c r="C45" s="289">
        <f>C46</f>
        <v>1165</v>
      </c>
      <c r="D45" s="279">
        <f>C47</f>
        <v>4.0000000000000001E-3</v>
      </c>
      <c r="E45" s="280" t="s">
        <v>129</v>
      </c>
      <c r="F45" s="290"/>
      <c r="G45" s="291" t="s">
        <v>1069</v>
      </c>
    </row>
    <row r="46" spans="1:7" s="258" customFormat="1" ht="13.5" customHeight="1">
      <c r="A46" s="954" t="s">
        <v>794</v>
      </c>
      <c r="B46" s="292" t="s">
        <v>1062</v>
      </c>
      <c r="C46" s="293">
        <f>ROUND((C33+C39)*F27,0)</f>
        <v>1165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8042</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7801</v>
      </c>
      <c r="D51" s="276"/>
      <c r="E51" s="276"/>
      <c r="F51" s="308"/>
      <c r="G51" s="278" t="s">
        <v>64</v>
      </c>
    </row>
    <row r="52" spans="1:7" s="252" customFormat="1" ht="16.5" thickBot="1">
      <c r="A52" s="309" t="s">
        <v>65</v>
      </c>
      <c r="B52" s="310"/>
      <c r="C52" s="311">
        <f ca="1">C31+C51</f>
        <v>39108</v>
      </c>
      <c r="D52" s="310"/>
      <c r="E52" s="310"/>
      <c r="F52" s="310"/>
      <c r="G52" s="312"/>
    </row>
    <row r="55" spans="1:7" ht="15">
      <c r="B55" s="314" t="s">
        <v>66</v>
      </c>
      <c r="C55" s="315"/>
    </row>
    <row r="56" spans="1:7">
      <c r="B56" s="317" t="s">
        <v>67</v>
      </c>
      <c r="C56" s="318">
        <f ca="1">ROUND(C51/C52,3)</f>
        <v>0.19900000000000001</v>
      </c>
    </row>
    <row r="57" spans="1:7">
      <c r="B57" s="317" t="s">
        <v>68</v>
      </c>
      <c r="C57" s="319">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0" t="s">
        <v>156</v>
      </c>
      <c r="B1" s="3370"/>
      <c r="C1" s="3370"/>
      <c r="D1" s="3370"/>
      <c r="E1" s="3370"/>
      <c r="F1" s="33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1" t="s">
        <v>169</v>
      </c>
      <c r="B2" s="3371"/>
      <c r="C2" s="3371"/>
      <c r="D2" s="3371"/>
      <c r="E2" s="3371"/>
      <c r="F2" s="33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0" t="s">
        <v>868</v>
      </c>
      <c r="B1" s="337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1637</v>
      </c>
      <c r="B2" s="3056" t="s">
        <v>1638</v>
      </c>
      <c r="C2" s="3056" t="s">
        <v>1639</v>
      </c>
      <c r="D2" s="3056" t="str">
        <f>结果表!D116</f>
        <v>出让国有建设用地使用权价值</v>
      </c>
      <c r="E2" s="3056"/>
      <c r="F2" s="3056" t="str">
        <f>结果表!F116</f>
        <v>建筑物价值</v>
      </c>
      <c r="G2" s="3056"/>
      <c r="H2" s="3056" t="str">
        <f>IF(项目基本情况!B9="房地产市场价值","房地产市场价值","房地产价值")</f>
        <v>房地产价值</v>
      </c>
      <c r="I2" s="3056"/>
    </row>
    <row r="3" spans="1:9" ht="15">
      <c r="A3" s="3050"/>
      <c r="B3" s="3050"/>
      <c r="C3" s="3050"/>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11088</v>
      </c>
      <c r="E4" s="1047">
        <f ca="1">结果表!E118</f>
        <v>5423</v>
      </c>
      <c r="F4" s="1047">
        <f ca="1">结果表!F118</f>
        <v>7997</v>
      </c>
      <c r="G4" s="1047">
        <f ca="1">结果表!G118</f>
        <v>3911</v>
      </c>
      <c r="H4" s="1047">
        <f ca="1">结果表!H118</f>
        <v>19085</v>
      </c>
      <c r="I4" s="1047">
        <f ca="1">结果表!I118</f>
        <v>9334</v>
      </c>
    </row>
    <row r="5" spans="1:9" ht="30" customHeight="1">
      <c r="A5" s="3050" t="s">
        <v>1636</v>
      </c>
      <c r="B5" s="3050"/>
      <c r="C5" s="3050"/>
      <c r="D5" s="3051" t="str">
        <f ca="1">结果表!D119</f>
        <v>壹亿壹仟零捌拾捌万元整</v>
      </c>
      <c r="E5" s="3051"/>
      <c r="F5" s="3051" t="str">
        <f ca="1">结果表!F119</f>
        <v>柒仟玖佰玖拾柒万元整</v>
      </c>
      <c r="G5" s="3051"/>
      <c r="H5" s="3051" t="str">
        <f ca="1">结果表!H119</f>
        <v>壹亿玖仟零捌拾伍万元整</v>
      </c>
      <c r="I5" s="3051"/>
    </row>
    <row r="6" spans="1:9" ht="15.75">
      <c r="A6" s="3049" t="str">
        <f>结果表!A120</f>
        <v>估价师知悉的法定优先受偿款</v>
      </c>
      <c r="B6" s="3049"/>
      <c r="C6" s="3049"/>
      <c r="D6" s="3049">
        <f>结果表!D120</f>
        <v>0</v>
      </c>
      <c r="E6" s="3049"/>
      <c r="F6" s="3049"/>
      <c r="G6" s="3049"/>
      <c r="H6" s="3049"/>
      <c r="I6" s="3049"/>
    </row>
    <row r="7" spans="1:9" ht="15">
      <c r="A7" s="3050" t="s">
        <v>1636</v>
      </c>
      <c r="B7" s="3050"/>
      <c r="C7" s="3050"/>
      <c r="D7" s="3052" t="str">
        <f>结果表!D121</f>
        <v>零元整</v>
      </c>
      <c r="E7" s="3053"/>
      <c r="F7" s="3053"/>
      <c r="G7" s="3053"/>
      <c r="H7" s="3053"/>
      <c r="I7" s="3054"/>
    </row>
    <row r="8" spans="1:9" ht="15.75">
      <c r="A8" s="3049" t="str">
        <f>结果表!A122</f>
        <v>房地产抵押价值</v>
      </c>
      <c r="B8" s="3049"/>
      <c r="C8" s="3049"/>
      <c r="D8" s="3049">
        <f ca="1">结果表!D122</f>
        <v>19085</v>
      </c>
      <c r="E8" s="3049"/>
      <c r="F8" s="3049"/>
      <c r="G8" s="3049"/>
      <c r="H8" s="3049"/>
      <c r="I8" s="3049"/>
    </row>
    <row r="9" spans="1:9" ht="15">
      <c r="A9" s="3050" t="s">
        <v>1636</v>
      </c>
      <c r="B9" s="3050"/>
      <c r="C9" s="3050"/>
      <c r="D9" s="3051" t="str">
        <f ca="1">结果表!D123</f>
        <v>壹亿玖仟零捌拾伍万元整</v>
      </c>
      <c r="E9" s="3051"/>
      <c r="F9" s="3051"/>
      <c r="G9" s="3051"/>
      <c r="H9" s="3051"/>
      <c r="I9" s="3051"/>
    </row>
    <row r="10" spans="1:9" ht="15.75">
      <c r="A10" s="3049" t="str">
        <f>结果表!A124</f>
        <v/>
      </c>
      <c r="B10" s="3049"/>
      <c r="C10" s="3049"/>
      <c r="D10" s="3049" t="str">
        <f>结果表!D124</f>
        <v>——</v>
      </c>
      <c r="E10" s="3049"/>
      <c r="F10" s="3049"/>
      <c r="G10" s="3049"/>
      <c r="H10" s="3049"/>
      <c r="I10" s="3049"/>
    </row>
    <row r="11" spans="1:9" ht="15">
      <c r="A11" s="3050" t="s">
        <v>1636</v>
      </c>
      <c r="B11" s="3050"/>
      <c r="C11" s="3050"/>
      <c r="D11" s="3051" t="e">
        <f>结果表!D125</f>
        <v>#VALUE!</v>
      </c>
      <c r="E11" s="3051"/>
      <c r="F11" s="3051"/>
      <c r="G11" s="3051"/>
      <c r="H11" s="3051"/>
      <c r="I11" s="3051"/>
    </row>
    <row r="12" spans="1:9" ht="15.75">
      <c r="A12" s="3049" t="str">
        <f>结果表!A126</f>
        <v/>
      </c>
      <c r="B12" s="3049"/>
      <c r="C12" s="3049"/>
      <c r="D12" s="3049" t="str">
        <f>结果表!D126</f>
        <v>——</v>
      </c>
      <c r="E12" s="3049"/>
      <c r="F12" s="3049"/>
      <c r="G12" s="3049"/>
      <c r="H12" s="3049"/>
      <c r="I12" s="3049"/>
    </row>
    <row r="13" spans="1:9" ht="15.75" thickBot="1">
      <c r="A13" s="3046" t="s">
        <v>1636</v>
      </c>
      <c r="B13" s="3046"/>
      <c r="C13" s="3046"/>
      <c r="D13" s="3047" t="e">
        <f>结果表!D127</f>
        <v>#VALUE!</v>
      </c>
      <c r="E13" s="3047"/>
      <c r="F13" s="3047"/>
      <c r="G13" s="3047"/>
      <c r="H13" s="3047"/>
      <c r="I13" s="3047"/>
    </row>
    <row r="14" spans="1:9" ht="15" thickTop="1">
      <c r="A14" s="3048" t="s">
        <v>1641</v>
      </c>
      <c r="B14" s="3048"/>
      <c r="C14" s="3048"/>
      <c r="D14" s="3048"/>
      <c r="E14" s="3048"/>
      <c r="F14" s="3048"/>
      <c r="G14" s="3048"/>
      <c r="H14" s="3048"/>
      <c r="I14" s="304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4" t="s">
        <v>3411</v>
      </c>
      <c r="F6" s="3379" t="s">
        <v>3412</v>
      </c>
      <c r="G6" s="3376" t="s">
        <v>3408</v>
      </c>
      <c r="H6" s="3377"/>
      <c r="I6" s="3378"/>
    </row>
    <row r="7" spans="1:10" ht="14.25" thickBot="1">
      <c r="E7" s="3375"/>
      <c r="F7" s="3380"/>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122337555</v>
      </c>
    </row>
    <row r="9" spans="1:10" ht="25.5" thickBot="1">
      <c r="E9" s="2993" t="s">
        <v>3414</v>
      </c>
      <c r="F9" s="2994">
        <v>947.49000000000024</v>
      </c>
      <c r="G9" s="2995">
        <v>7397.6099999999988</v>
      </c>
      <c r="H9" s="2995">
        <v>0</v>
      </c>
      <c r="I9" s="2995">
        <f t="shared" ref="I9:I10" si="0">G9+H9</f>
        <v>7397.6099999999988</v>
      </c>
      <c r="J9">
        <f>'6号楼面积清单'!N127</f>
        <v>74227608</v>
      </c>
    </row>
    <row r="10" spans="1:10" ht="25.5" thickBot="1">
      <c r="E10" s="2993" t="s">
        <v>3415</v>
      </c>
      <c r="F10" s="2994">
        <v>929.57999999999993</v>
      </c>
      <c r="G10" s="2995">
        <v>7340.8800000000037</v>
      </c>
      <c r="H10" s="2995">
        <v>0</v>
      </c>
      <c r="I10" s="2995">
        <f t="shared" si="0"/>
        <v>7340.8800000000037</v>
      </c>
      <c r="J10">
        <f ca="1">'7号楼面积清单'!N123</f>
        <v>68519767</v>
      </c>
    </row>
    <row r="11" spans="1:10" ht="14.25" thickBot="1">
      <c r="E11" s="2998" t="s">
        <v>37</v>
      </c>
      <c r="F11" s="2997">
        <f>SUM(F8:F10)</f>
        <v>3339.8100000000022</v>
      </c>
      <c r="G11" s="2996">
        <f>SUM(G8:G10)</f>
        <v>27845.149999999994</v>
      </c>
      <c r="H11" s="2996">
        <v>0</v>
      </c>
      <c r="I11" s="2995">
        <f>G11+H11</f>
        <v>27845.149999999994</v>
      </c>
      <c r="J11">
        <f ca="1">ROUND(SUM(J8:J10)/10000,0)</f>
        <v>26508</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workbookViewId="0">
      <selection activeCell="M4" sqref="M4"/>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1" t="s">
        <v>3417</v>
      </c>
      <c r="B1" s="3381"/>
      <c r="C1" s="3381"/>
      <c r="D1" s="3381"/>
      <c r="E1" s="3381"/>
      <c r="F1" s="3381"/>
      <c r="G1" s="3381"/>
      <c r="H1" s="3381"/>
      <c r="I1" s="3381"/>
      <c r="J1" s="3381"/>
      <c r="K1" s="3381"/>
      <c r="L1" s="3381"/>
    </row>
    <row r="2" spans="1:14" ht="13.5" customHeight="1">
      <c r="A2" s="3382" t="s">
        <v>3418</v>
      </c>
      <c r="B2" s="3382"/>
      <c r="C2" s="3382"/>
      <c r="D2" s="3382"/>
      <c r="E2" s="3382"/>
      <c r="F2" s="3382"/>
      <c r="G2" s="3382"/>
      <c r="H2" s="3382"/>
      <c r="I2" s="3382"/>
      <c r="J2" s="3382"/>
      <c r="K2" s="3382"/>
      <c r="L2" s="3382"/>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4"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9334</v>
      </c>
      <c r="N4" s="3002">
        <f ca="1">ROUND(F4*$M$4,0)</f>
        <v>499369</v>
      </c>
    </row>
    <row r="5" spans="1:14"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682689</v>
      </c>
    </row>
    <row r="6" spans="1:14" ht="24">
      <c r="A6" s="3007">
        <v>3</v>
      </c>
      <c r="B6" s="3004" t="s">
        <v>3061</v>
      </c>
      <c r="C6" s="3004" t="s">
        <v>3431</v>
      </c>
      <c r="D6" s="3004" t="s">
        <v>3441</v>
      </c>
      <c r="E6" s="3008" t="s">
        <v>3442</v>
      </c>
      <c r="F6" s="3009">
        <v>73.27</v>
      </c>
      <c r="G6" s="3009">
        <v>8.18</v>
      </c>
      <c r="H6" s="3004" t="s">
        <v>1373</v>
      </c>
      <c r="I6" s="3007" t="s">
        <v>3443</v>
      </c>
      <c r="J6" s="3010">
        <f t="shared" ref="J6:J69" si="1">$J$4</f>
        <v>56156</v>
      </c>
      <c r="K6" s="3007" t="str">
        <f t="shared" ref="K6:K69" si="2">$K$4</f>
        <v>12层</v>
      </c>
      <c r="L6" s="3007" t="str">
        <f t="shared" ref="L6:L20" si="3">$L$4</f>
        <v>1层</v>
      </c>
      <c r="N6" s="3002">
        <f t="shared" ca="1" si="0"/>
        <v>683902</v>
      </c>
    </row>
    <row r="7" spans="1:14" ht="24.75" customHeight="1">
      <c r="A7" s="3007">
        <v>4</v>
      </c>
      <c r="B7" s="3004" t="s">
        <v>3062</v>
      </c>
      <c r="C7" s="3004" t="s">
        <v>3431</v>
      </c>
      <c r="D7" s="3004" t="s">
        <v>3444</v>
      </c>
      <c r="E7" s="3008" t="s">
        <v>3445</v>
      </c>
      <c r="F7" s="3006">
        <v>53.53</v>
      </c>
      <c r="G7" s="3006">
        <v>5.97</v>
      </c>
      <c r="H7" s="3004" t="s">
        <v>1373</v>
      </c>
      <c r="I7" s="3007" t="s">
        <v>3443</v>
      </c>
      <c r="J7" s="3010">
        <f t="shared" si="1"/>
        <v>56156</v>
      </c>
      <c r="K7" s="3007" t="str">
        <f t="shared" si="2"/>
        <v>12层</v>
      </c>
      <c r="L7" s="3007" t="str">
        <f t="shared" si="3"/>
        <v>1层</v>
      </c>
      <c r="N7" s="3002">
        <f t="shared" ca="1" si="0"/>
        <v>499649</v>
      </c>
    </row>
    <row r="8" spans="1:14" ht="24">
      <c r="A8" s="3007">
        <v>5</v>
      </c>
      <c r="B8" s="3007" t="s">
        <v>3064</v>
      </c>
      <c r="C8" s="3004" t="s">
        <v>3431</v>
      </c>
      <c r="D8" s="3004" t="s">
        <v>3446</v>
      </c>
      <c r="E8" s="3008" t="s">
        <v>3447</v>
      </c>
      <c r="F8" s="3011">
        <v>53.58</v>
      </c>
      <c r="G8" s="3011">
        <v>5.98</v>
      </c>
      <c r="H8" s="3004" t="s">
        <v>1373</v>
      </c>
      <c r="I8" s="3007" t="s">
        <v>3448</v>
      </c>
      <c r="J8" s="3010">
        <f t="shared" si="1"/>
        <v>56156</v>
      </c>
      <c r="K8" s="3007" t="str">
        <f t="shared" si="2"/>
        <v>12层</v>
      </c>
      <c r="L8" s="3007" t="str">
        <f t="shared" si="3"/>
        <v>1层</v>
      </c>
      <c r="N8" s="3002">
        <f t="shared" ca="1" si="0"/>
        <v>500116</v>
      </c>
    </row>
    <row r="9" spans="1:14" ht="24">
      <c r="A9" s="3007">
        <v>6</v>
      </c>
      <c r="B9" s="3007" t="s">
        <v>3065</v>
      </c>
      <c r="C9" s="3004" t="s">
        <v>3449</v>
      </c>
      <c r="D9" s="3004" t="s">
        <v>3450</v>
      </c>
      <c r="E9" s="3008" t="s">
        <v>3451</v>
      </c>
      <c r="F9" s="3011">
        <v>54.26</v>
      </c>
      <c r="G9" s="3011">
        <v>6.06</v>
      </c>
      <c r="H9" s="3004" t="s">
        <v>1373</v>
      </c>
      <c r="I9" s="3007" t="s">
        <v>3448</v>
      </c>
      <c r="J9" s="3010">
        <f t="shared" si="1"/>
        <v>56156</v>
      </c>
      <c r="K9" s="3007" t="str">
        <f t="shared" si="2"/>
        <v>12层</v>
      </c>
      <c r="L9" s="3007" t="str">
        <f t="shared" si="3"/>
        <v>1层</v>
      </c>
      <c r="N9" s="3002">
        <f t="shared" ca="1" si="0"/>
        <v>506463</v>
      </c>
    </row>
    <row r="10" spans="1:14" ht="24">
      <c r="A10" s="3007">
        <v>7</v>
      </c>
      <c r="B10" s="3007" t="s">
        <v>3066</v>
      </c>
      <c r="C10" s="3004" t="s">
        <v>3449</v>
      </c>
      <c r="D10" s="3004" t="s">
        <v>3452</v>
      </c>
      <c r="E10" s="3008" t="s">
        <v>3453</v>
      </c>
      <c r="F10" s="3011">
        <v>62.19</v>
      </c>
      <c r="G10" s="3011">
        <v>6.94</v>
      </c>
      <c r="H10" s="3004" t="s">
        <v>1373</v>
      </c>
      <c r="I10" s="3007" t="s">
        <v>3448</v>
      </c>
      <c r="J10" s="3010">
        <f t="shared" si="1"/>
        <v>56156</v>
      </c>
      <c r="K10" s="3007" t="str">
        <f t="shared" si="2"/>
        <v>12层</v>
      </c>
      <c r="L10" s="3007" t="str">
        <f t="shared" si="3"/>
        <v>1层</v>
      </c>
      <c r="N10" s="3002">
        <f t="shared" ca="1" si="0"/>
        <v>580481</v>
      </c>
    </row>
    <row r="11" spans="1:14" ht="24">
      <c r="A11" s="3007">
        <v>8</v>
      </c>
      <c r="B11" s="3007" t="s">
        <v>3067</v>
      </c>
      <c r="C11" s="3004" t="s">
        <v>3449</v>
      </c>
      <c r="D11" s="3004" t="s">
        <v>3454</v>
      </c>
      <c r="E11" s="3008" t="s">
        <v>3455</v>
      </c>
      <c r="F11" s="3011">
        <v>54.02</v>
      </c>
      <c r="G11" s="3011">
        <v>6.03</v>
      </c>
      <c r="H11" s="3004" t="s">
        <v>1373</v>
      </c>
      <c r="I11" s="3007" t="s">
        <v>3448</v>
      </c>
      <c r="J11" s="3010">
        <f t="shared" si="1"/>
        <v>56156</v>
      </c>
      <c r="K11" s="3007" t="str">
        <f t="shared" si="2"/>
        <v>12层</v>
      </c>
      <c r="L11" s="3007" t="str">
        <f t="shared" si="3"/>
        <v>1层</v>
      </c>
      <c r="N11" s="3002">
        <f t="shared" ca="1" si="0"/>
        <v>504223</v>
      </c>
    </row>
    <row r="12" spans="1:14" ht="24">
      <c r="A12" s="3007">
        <v>9</v>
      </c>
      <c r="B12" s="3007" t="s">
        <v>3068</v>
      </c>
      <c r="C12" s="3004" t="s">
        <v>3449</v>
      </c>
      <c r="D12" s="3004" t="s">
        <v>3456</v>
      </c>
      <c r="E12" s="3008" t="s">
        <v>3457</v>
      </c>
      <c r="F12" s="3011">
        <v>54.27</v>
      </c>
      <c r="G12" s="3011">
        <v>6.06</v>
      </c>
      <c r="H12" s="3004" t="s">
        <v>1373</v>
      </c>
      <c r="I12" s="3007" t="s">
        <v>3448</v>
      </c>
      <c r="J12" s="3010">
        <f t="shared" si="1"/>
        <v>56156</v>
      </c>
      <c r="K12" s="3007" t="str">
        <f t="shared" si="2"/>
        <v>12层</v>
      </c>
      <c r="L12" s="3007" t="str">
        <f t="shared" si="3"/>
        <v>1层</v>
      </c>
      <c r="N12" s="3002">
        <f t="shared" ca="1" si="0"/>
        <v>506556</v>
      </c>
    </row>
    <row r="13" spans="1:14" ht="24">
      <c r="A13" s="3007">
        <v>10</v>
      </c>
      <c r="B13" s="3007" t="s">
        <v>3069</v>
      </c>
      <c r="C13" s="3004" t="s">
        <v>3449</v>
      </c>
      <c r="D13" s="3004" t="s">
        <v>3458</v>
      </c>
      <c r="E13" s="3008" t="s">
        <v>3459</v>
      </c>
      <c r="F13" s="3011">
        <v>54.27</v>
      </c>
      <c r="G13" s="3011">
        <v>6.06</v>
      </c>
      <c r="H13" s="3004" t="s">
        <v>1373</v>
      </c>
      <c r="I13" s="3007" t="s">
        <v>3448</v>
      </c>
      <c r="J13" s="3010">
        <f t="shared" si="1"/>
        <v>56156</v>
      </c>
      <c r="K13" s="3007" t="str">
        <f t="shared" si="2"/>
        <v>12层</v>
      </c>
      <c r="L13" s="3007" t="str">
        <f t="shared" si="3"/>
        <v>1层</v>
      </c>
      <c r="N13" s="3002">
        <f t="shared" ca="1" si="0"/>
        <v>506556</v>
      </c>
    </row>
    <row r="14" spans="1:14" ht="24">
      <c r="A14" s="3007">
        <v>11</v>
      </c>
      <c r="B14" s="3007" t="s">
        <v>3070</v>
      </c>
      <c r="C14" s="3004" t="s">
        <v>3449</v>
      </c>
      <c r="D14" s="3004" t="s">
        <v>3460</v>
      </c>
      <c r="E14" s="3008" t="s">
        <v>3461</v>
      </c>
      <c r="F14" s="3011">
        <v>54.24</v>
      </c>
      <c r="G14" s="3011">
        <v>6.05</v>
      </c>
      <c r="H14" s="3004" t="s">
        <v>1373</v>
      </c>
      <c r="I14" s="3007" t="s">
        <v>3448</v>
      </c>
      <c r="J14" s="3010">
        <f t="shared" si="1"/>
        <v>56156</v>
      </c>
      <c r="K14" s="3007" t="str">
        <f t="shared" si="2"/>
        <v>12层</v>
      </c>
      <c r="L14" s="3007" t="str">
        <f t="shared" si="3"/>
        <v>1层</v>
      </c>
      <c r="N14" s="3002">
        <f t="shared" ca="1" si="0"/>
        <v>506276</v>
      </c>
    </row>
    <row r="15" spans="1:14" ht="24">
      <c r="A15" s="3007">
        <v>12</v>
      </c>
      <c r="B15" s="3007" t="s">
        <v>3071</v>
      </c>
      <c r="C15" s="3004" t="s">
        <v>3449</v>
      </c>
      <c r="D15" s="3004" t="s">
        <v>3462</v>
      </c>
      <c r="E15" s="3008" t="s">
        <v>3463</v>
      </c>
      <c r="F15" s="3011">
        <v>74.680000000000007</v>
      </c>
      <c r="G15" s="3011">
        <v>8.33</v>
      </c>
      <c r="H15" s="3004" t="s">
        <v>1373</v>
      </c>
      <c r="I15" s="3007" t="s">
        <v>3448</v>
      </c>
      <c r="J15" s="3010">
        <f t="shared" si="1"/>
        <v>56156</v>
      </c>
      <c r="K15" s="3007" t="str">
        <f t="shared" si="2"/>
        <v>12层</v>
      </c>
      <c r="L15" s="3007" t="str">
        <f t="shared" si="3"/>
        <v>1层</v>
      </c>
      <c r="N15" s="3002">
        <f t="shared" ca="1" si="0"/>
        <v>697063</v>
      </c>
    </row>
    <row r="16" spans="1:14" ht="24">
      <c r="A16" s="3007">
        <v>13</v>
      </c>
      <c r="B16" s="3007" t="s">
        <v>3072</v>
      </c>
      <c r="C16" s="3004" t="s">
        <v>3449</v>
      </c>
      <c r="D16" s="3004" t="s">
        <v>3464</v>
      </c>
      <c r="E16" s="3008" t="s">
        <v>3465</v>
      </c>
      <c r="F16" s="3011">
        <v>74.05</v>
      </c>
      <c r="G16" s="3011">
        <v>8.26</v>
      </c>
      <c r="H16" s="3004" t="s">
        <v>1373</v>
      </c>
      <c r="I16" s="3007" t="s">
        <v>3448</v>
      </c>
      <c r="J16" s="3010">
        <f t="shared" si="1"/>
        <v>56156</v>
      </c>
      <c r="K16" s="3007" t="str">
        <f t="shared" si="2"/>
        <v>12层</v>
      </c>
      <c r="L16" s="3007" t="str">
        <f t="shared" si="3"/>
        <v>1层</v>
      </c>
      <c r="N16" s="3002">
        <f t="shared" ca="1" si="0"/>
        <v>691183</v>
      </c>
    </row>
    <row r="17" spans="1:14" ht="24">
      <c r="A17" s="3007">
        <v>14</v>
      </c>
      <c r="B17" s="3007" t="s">
        <v>3073</v>
      </c>
      <c r="C17" s="3004" t="s">
        <v>3449</v>
      </c>
      <c r="D17" s="3004" t="s">
        <v>3466</v>
      </c>
      <c r="E17" s="3008" t="s">
        <v>3467</v>
      </c>
      <c r="F17" s="3011">
        <v>54.24</v>
      </c>
      <c r="G17" s="3011">
        <v>6.05</v>
      </c>
      <c r="H17" s="3004" t="s">
        <v>1373</v>
      </c>
      <c r="I17" s="3007" t="s">
        <v>3448</v>
      </c>
      <c r="J17" s="3010">
        <f t="shared" si="1"/>
        <v>56156</v>
      </c>
      <c r="K17" s="3007" t="str">
        <f t="shared" si="2"/>
        <v>12层</v>
      </c>
      <c r="L17" s="3007" t="str">
        <f t="shared" si="3"/>
        <v>1层</v>
      </c>
      <c r="N17" s="3002">
        <f t="shared" ca="1" si="0"/>
        <v>506276</v>
      </c>
    </row>
    <row r="18" spans="1:14" ht="24">
      <c r="A18" s="3007">
        <v>15</v>
      </c>
      <c r="B18" s="3007" t="s">
        <v>3074</v>
      </c>
      <c r="C18" s="3004" t="s">
        <v>3449</v>
      </c>
      <c r="D18" s="3004" t="s">
        <v>3468</v>
      </c>
      <c r="E18" s="3008" t="s">
        <v>3469</v>
      </c>
      <c r="F18" s="3011">
        <v>54.27</v>
      </c>
      <c r="G18" s="3011">
        <v>6.06</v>
      </c>
      <c r="H18" s="3004" t="s">
        <v>1373</v>
      </c>
      <c r="I18" s="3007" t="s">
        <v>3448</v>
      </c>
      <c r="J18" s="3010">
        <f t="shared" si="1"/>
        <v>56156</v>
      </c>
      <c r="K18" s="3007" t="str">
        <f t="shared" si="2"/>
        <v>12层</v>
      </c>
      <c r="L18" s="3007" t="str">
        <f t="shared" si="3"/>
        <v>1层</v>
      </c>
      <c r="N18" s="3002">
        <f t="shared" ca="1" si="0"/>
        <v>506556</v>
      </c>
    </row>
    <row r="19" spans="1:14" ht="24">
      <c r="A19" s="3007">
        <v>16</v>
      </c>
      <c r="B19" s="3007" t="s">
        <v>3075</v>
      </c>
      <c r="C19" s="3004" t="s">
        <v>3449</v>
      </c>
      <c r="D19" s="3004" t="s">
        <v>3470</v>
      </c>
      <c r="E19" s="3008" t="s">
        <v>3471</v>
      </c>
      <c r="F19" s="3011">
        <v>53.59</v>
      </c>
      <c r="G19" s="3011">
        <v>5.98</v>
      </c>
      <c r="H19" s="3004" t="s">
        <v>1373</v>
      </c>
      <c r="I19" s="3007" t="s">
        <v>3448</v>
      </c>
      <c r="J19" s="3010">
        <f t="shared" si="1"/>
        <v>56156</v>
      </c>
      <c r="K19" s="3007" t="str">
        <f t="shared" si="2"/>
        <v>12层</v>
      </c>
      <c r="L19" s="3007" t="str">
        <f t="shared" si="3"/>
        <v>1层</v>
      </c>
      <c r="N19" s="3002">
        <f t="shared" ca="1" si="0"/>
        <v>500209</v>
      </c>
    </row>
    <row r="20" spans="1:14" ht="24">
      <c r="A20" s="3007">
        <v>17</v>
      </c>
      <c r="B20" s="3007" t="s">
        <v>3076</v>
      </c>
      <c r="C20" s="3004" t="s">
        <v>3449</v>
      </c>
      <c r="D20" s="3004" t="s">
        <v>3472</v>
      </c>
      <c r="E20" s="3008" t="s">
        <v>3473</v>
      </c>
      <c r="F20" s="3011">
        <v>66.239999999999995</v>
      </c>
      <c r="G20" s="3011">
        <v>7.39</v>
      </c>
      <c r="H20" s="3004" t="s">
        <v>1373</v>
      </c>
      <c r="I20" s="3007" t="s">
        <v>3448</v>
      </c>
      <c r="J20" s="3010">
        <f t="shared" si="1"/>
        <v>56156</v>
      </c>
      <c r="K20" s="3007" t="str">
        <f t="shared" si="2"/>
        <v>12层</v>
      </c>
      <c r="L20" s="3007" t="str">
        <f t="shared" si="3"/>
        <v>1层</v>
      </c>
      <c r="N20" s="3002">
        <f t="shared" ca="1" si="0"/>
        <v>618284</v>
      </c>
    </row>
    <row r="21" spans="1:14" ht="24">
      <c r="A21" s="3007">
        <v>18</v>
      </c>
      <c r="B21" s="3007" t="s">
        <v>3077</v>
      </c>
      <c r="C21" s="3004" t="s">
        <v>3449</v>
      </c>
      <c r="D21" s="3004" t="s">
        <v>3474</v>
      </c>
      <c r="E21" s="3008" t="s">
        <v>3475</v>
      </c>
      <c r="F21" s="3011">
        <v>50.87</v>
      </c>
      <c r="G21" s="3011">
        <v>5.68</v>
      </c>
      <c r="H21" s="3004" t="s">
        <v>1373</v>
      </c>
      <c r="I21" s="3007" t="s">
        <v>3448</v>
      </c>
      <c r="J21" s="3010">
        <f t="shared" si="1"/>
        <v>56156</v>
      </c>
      <c r="K21" s="3007" t="str">
        <f t="shared" si="2"/>
        <v>12层</v>
      </c>
      <c r="L21" s="3007" t="s">
        <v>3476</v>
      </c>
      <c r="N21" s="3002">
        <f t="shared" ca="1" si="0"/>
        <v>474821</v>
      </c>
    </row>
    <row r="22" spans="1:14" ht="24">
      <c r="A22" s="3007">
        <v>19</v>
      </c>
      <c r="B22" s="3007" t="s">
        <v>3078</v>
      </c>
      <c r="C22" s="3004" t="s">
        <v>3477</v>
      </c>
      <c r="D22" s="3004" t="s">
        <v>3478</v>
      </c>
      <c r="E22" s="3008" t="s">
        <v>3479</v>
      </c>
      <c r="F22" s="3011">
        <v>54.01</v>
      </c>
      <c r="G22" s="3011">
        <v>6.03</v>
      </c>
      <c r="H22" s="3004" t="s">
        <v>1373</v>
      </c>
      <c r="I22" s="3007" t="s">
        <v>3440</v>
      </c>
      <c r="J22" s="3010">
        <f t="shared" si="1"/>
        <v>56156</v>
      </c>
      <c r="K22" s="3007" t="str">
        <f t="shared" si="2"/>
        <v>12层</v>
      </c>
      <c r="L22" s="3007" t="str">
        <f>$L$21</f>
        <v>2层</v>
      </c>
      <c r="N22" s="3002">
        <f t="shared" ca="1" si="0"/>
        <v>504129</v>
      </c>
    </row>
    <row r="23" spans="1:14" ht="24">
      <c r="A23" s="3007">
        <v>20</v>
      </c>
      <c r="B23" s="3007" t="s">
        <v>3079</v>
      </c>
      <c r="C23" s="3004" t="s">
        <v>3449</v>
      </c>
      <c r="D23" s="3004" t="s">
        <v>3480</v>
      </c>
      <c r="E23" s="3008" t="s">
        <v>3481</v>
      </c>
      <c r="F23" s="3011">
        <v>52.04</v>
      </c>
      <c r="G23" s="3011">
        <v>5.81</v>
      </c>
      <c r="H23" s="3004" t="s">
        <v>1373</v>
      </c>
      <c r="I23" s="3007" t="s">
        <v>3448</v>
      </c>
      <c r="J23" s="3010">
        <f t="shared" si="1"/>
        <v>56156</v>
      </c>
      <c r="K23" s="3007" t="str">
        <f t="shared" si="2"/>
        <v>12层</v>
      </c>
      <c r="L23" s="3007" t="str">
        <f t="shared" ref="L23:L42" si="4">$L$21</f>
        <v>2层</v>
      </c>
      <c r="N23" s="3002">
        <f t="shared" ca="1" si="0"/>
        <v>485741</v>
      </c>
    </row>
    <row r="24" spans="1:14" ht="24">
      <c r="A24" s="3007">
        <v>21</v>
      </c>
      <c r="B24" s="3007" t="s">
        <v>3080</v>
      </c>
      <c r="C24" s="3004" t="s">
        <v>3431</v>
      </c>
      <c r="D24" s="3004" t="s">
        <v>3482</v>
      </c>
      <c r="E24" s="3008" t="s">
        <v>3483</v>
      </c>
      <c r="F24" s="3011">
        <v>71.069999999999993</v>
      </c>
      <c r="G24" s="3011">
        <v>7.93</v>
      </c>
      <c r="H24" s="3004" t="s">
        <v>1373</v>
      </c>
      <c r="I24" s="3007" t="s">
        <v>3443</v>
      </c>
      <c r="J24" s="3010">
        <f t="shared" si="1"/>
        <v>56156</v>
      </c>
      <c r="K24" s="3007" t="str">
        <f t="shared" si="2"/>
        <v>12层</v>
      </c>
      <c r="L24" s="3007" t="str">
        <f t="shared" si="4"/>
        <v>2层</v>
      </c>
      <c r="N24" s="3002">
        <f t="shared" ca="1" si="0"/>
        <v>663367</v>
      </c>
    </row>
    <row r="25" spans="1:14" ht="24">
      <c r="A25" s="3007">
        <v>22</v>
      </c>
      <c r="B25" s="3007" t="s">
        <v>3081</v>
      </c>
      <c r="C25" s="3004" t="s">
        <v>3431</v>
      </c>
      <c r="D25" s="3004" t="s">
        <v>3484</v>
      </c>
      <c r="E25" s="3008" t="s">
        <v>3485</v>
      </c>
      <c r="F25" s="3011">
        <v>71.489999999999995</v>
      </c>
      <c r="G25" s="3011">
        <v>7.98</v>
      </c>
      <c r="H25" s="3004" t="s">
        <v>1373</v>
      </c>
      <c r="I25" s="3007" t="s">
        <v>3443</v>
      </c>
      <c r="J25" s="3010">
        <f t="shared" si="1"/>
        <v>56156</v>
      </c>
      <c r="K25" s="3007" t="str">
        <f t="shared" si="2"/>
        <v>12层</v>
      </c>
      <c r="L25" s="3007" t="str">
        <f t="shared" si="4"/>
        <v>2层</v>
      </c>
      <c r="N25" s="3002">
        <f t="shared" ca="1" si="0"/>
        <v>667288</v>
      </c>
    </row>
    <row r="26" spans="1:14" ht="24">
      <c r="A26" s="3007">
        <v>23</v>
      </c>
      <c r="B26" s="3007" t="s">
        <v>3082</v>
      </c>
      <c r="C26" s="3004" t="s">
        <v>3431</v>
      </c>
      <c r="D26" s="3004" t="s">
        <v>3486</v>
      </c>
      <c r="E26" s="3008" t="s">
        <v>3487</v>
      </c>
      <c r="F26" s="3011">
        <v>52.23</v>
      </c>
      <c r="G26" s="3011">
        <v>5.83</v>
      </c>
      <c r="H26" s="3004" t="s">
        <v>1373</v>
      </c>
      <c r="I26" s="3007" t="s">
        <v>3443</v>
      </c>
      <c r="J26" s="3010">
        <f t="shared" si="1"/>
        <v>56156</v>
      </c>
      <c r="K26" s="3007" t="str">
        <f t="shared" si="2"/>
        <v>12层</v>
      </c>
      <c r="L26" s="3007" t="str">
        <f t="shared" si="4"/>
        <v>2层</v>
      </c>
      <c r="N26" s="3002">
        <f t="shared" ca="1" si="0"/>
        <v>487515</v>
      </c>
    </row>
    <row r="27" spans="1:14" ht="24">
      <c r="A27" s="3007">
        <v>24</v>
      </c>
      <c r="B27" s="3007" t="s">
        <v>3083</v>
      </c>
      <c r="C27" s="3004" t="s">
        <v>3431</v>
      </c>
      <c r="D27" s="3004" t="s">
        <v>3488</v>
      </c>
      <c r="E27" s="3008" t="s">
        <v>3489</v>
      </c>
      <c r="F27" s="3011">
        <v>52.3</v>
      </c>
      <c r="G27" s="3011">
        <v>5.84</v>
      </c>
      <c r="H27" s="3004" t="s">
        <v>1373</v>
      </c>
      <c r="I27" s="3007" t="s">
        <v>3443</v>
      </c>
      <c r="J27" s="3010">
        <f t="shared" si="1"/>
        <v>56156</v>
      </c>
      <c r="K27" s="3007" t="str">
        <f t="shared" si="2"/>
        <v>12层</v>
      </c>
      <c r="L27" s="3007" t="str">
        <f t="shared" si="4"/>
        <v>2层</v>
      </c>
      <c r="N27" s="3002">
        <f t="shared" ca="1" si="0"/>
        <v>488168</v>
      </c>
    </row>
    <row r="28" spans="1:14" ht="24">
      <c r="A28" s="3007">
        <v>25</v>
      </c>
      <c r="B28" s="3007" t="s">
        <v>3084</v>
      </c>
      <c r="C28" s="3004" t="s">
        <v>3431</v>
      </c>
      <c r="D28" s="3004" t="s">
        <v>3490</v>
      </c>
      <c r="E28" s="3008" t="s">
        <v>3491</v>
      </c>
      <c r="F28" s="3011">
        <v>52.27</v>
      </c>
      <c r="G28" s="3011">
        <v>5.83</v>
      </c>
      <c r="H28" s="3004" t="s">
        <v>1373</v>
      </c>
      <c r="I28" s="3007" t="s">
        <v>3443</v>
      </c>
      <c r="J28" s="3010">
        <f t="shared" si="1"/>
        <v>56156</v>
      </c>
      <c r="K28" s="3007" t="str">
        <f t="shared" si="2"/>
        <v>12层</v>
      </c>
      <c r="L28" s="3007" t="str">
        <f t="shared" si="4"/>
        <v>2层</v>
      </c>
      <c r="N28" s="3002">
        <f t="shared" ca="1" si="0"/>
        <v>487888</v>
      </c>
    </row>
    <row r="29" spans="1:14" ht="24">
      <c r="A29" s="3007">
        <v>26</v>
      </c>
      <c r="B29" s="3007" t="s">
        <v>3085</v>
      </c>
      <c r="C29" s="3004" t="s">
        <v>3431</v>
      </c>
      <c r="D29" s="3004" t="s">
        <v>3492</v>
      </c>
      <c r="E29" s="3008" t="s">
        <v>3493</v>
      </c>
      <c r="F29" s="3011">
        <v>52.94</v>
      </c>
      <c r="G29" s="3011">
        <v>5.91</v>
      </c>
      <c r="H29" s="3004" t="s">
        <v>1373</v>
      </c>
      <c r="I29" s="3007" t="s">
        <v>3443</v>
      </c>
      <c r="J29" s="3010">
        <f t="shared" si="1"/>
        <v>56156</v>
      </c>
      <c r="K29" s="3007" t="str">
        <f t="shared" si="2"/>
        <v>12层</v>
      </c>
      <c r="L29" s="3007" t="str">
        <f t="shared" si="4"/>
        <v>2层</v>
      </c>
      <c r="N29" s="3002">
        <f t="shared" ca="1" si="0"/>
        <v>494142</v>
      </c>
    </row>
    <row r="30" spans="1:14" ht="24">
      <c r="A30" s="3007">
        <v>27</v>
      </c>
      <c r="B30" s="3007" t="s">
        <v>3086</v>
      </c>
      <c r="C30" s="3004" t="s">
        <v>3431</v>
      </c>
      <c r="D30" s="3004" t="s">
        <v>3494</v>
      </c>
      <c r="E30" s="3008" t="s">
        <v>3495</v>
      </c>
      <c r="F30" s="3011">
        <v>60.59</v>
      </c>
      <c r="G30" s="3011">
        <v>6.76</v>
      </c>
      <c r="H30" s="3004" t="s">
        <v>1373</v>
      </c>
      <c r="I30" s="3007" t="s">
        <v>3443</v>
      </c>
      <c r="J30" s="3010">
        <f t="shared" si="1"/>
        <v>56156</v>
      </c>
      <c r="K30" s="3007" t="str">
        <f t="shared" si="2"/>
        <v>12层</v>
      </c>
      <c r="L30" s="3007" t="str">
        <f t="shared" si="4"/>
        <v>2层</v>
      </c>
      <c r="N30" s="3002">
        <f t="shared" ca="1" si="0"/>
        <v>565547</v>
      </c>
    </row>
    <row r="31" spans="1:14" ht="24">
      <c r="A31" s="3007">
        <v>28</v>
      </c>
      <c r="B31" s="3007" t="s">
        <v>3087</v>
      </c>
      <c r="C31" s="3004" t="s">
        <v>3431</v>
      </c>
      <c r="D31" s="3004" t="s">
        <v>3496</v>
      </c>
      <c r="E31" s="3008" t="s">
        <v>3497</v>
      </c>
      <c r="F31" s="3011">
        <v>66.349999999999994</v>
      </c>
      <c r="G31" s="3011">
        <v>7.4</v>
      </c>
      <c r="H31" s="3004" t="s">
        <v>1373</v>
      </c>
      <c r="I31" s="3007" t="s">
        <v>3443</v>
      </c>
      <c r="J31" s="3010">
        <f t="shared" si="1"/>
        <v>56156</v>
      </c>
      <c r="K31" s="3007" t="str">
        <f t="shared" si="2"/>
        <v>12层</v>
      </c>
      <c r="L31" s="3007" t="str">
        <f t="shared" si="4"/>
        <v>2层</v>
      </c>
      <c r="N31" s="3002">
        <f t="shared" ca="1" si="0"/>
        <v>619311</v>
      </c>
    </row>
    <row r="32" spans="1:14" ht="24">
      <c r="A32" s="3007">
        <v>29</v>
      </c>
      <c r="B32" s="3007" t="s">
        <v>3088</v>
      </c>
      <c r="C32" s="3004" t="s">
        <v>3431</v>
      </c>
      <c r="D32" s="3004" t="s">
        <v>3498</v>
      </c>
      <c r="E32" s="3008" t="s">
        <v>3499</v>
      </c>
      <c r="F32" s="3011">
        <v>60.59</v>
      </c>
      <c r="G32" s="3011">
        <v>6.76</v>
      </c>
      <c r="H32" s="3004" t="s">
        <v>1373</v>
      </c>
      <c r="I32" s="3007" t="s">
        <v>3443</v>
      </c>
      <c r="J32" s="3010">
        <f t="shared" si="1"/>
        <v>56156</v>
      </c>
      <c r="K32" s="3007" t="str">
        <f t="shared" si="2"/>
        <v>12层</v>
      </c>
      <c r="L32" s="3007" t="str">
        <f t="shared" si="4"/>
        <v>2层</v>
      </c>
      <c r="N32" s="3002">
        <f t="shared" ca="1" si="0"/>
        <v>565547</v>
      </c>
    </row>
    <row r="33" spans="1:14" ht="24">
      <c r="A33" s="3007">
        <v>30</v>
      </c>
      <c r="B33" s="3007" t="s">
        <v>3089</v>
      </c>
      <c r="C33" s="3004" t="s">
        <v>3431</v>
      </c>
      <c r="D33" s="3004" t="s">
        <v>3500</v>
      </c>
      <c r="E33" s="3008" t="s">
        <v>3501</v>
      </c>
      <c r="F33" s="3011">
        <v>53.01</v>
      </c>
      <c r="G33" s="3011">
        <v>5.92</v>
      </c>
      <c r="H33" s="3004" t="s">
        <v>1373</v>
      </c>
      <c r="I33" s="3007" t="s">
        <v>3443</v>
      </c>
      <c r="J33" s="3010">
        <f t="shared" si="1"/>
        <v>56156</v>
      </c>
      <c r="K33" s="3007" t="str">
        <f t="shared" si="2"/>
        <v>12层</v>
      </c>
      <c r="L33" s="3007" t="str">
        <f t="shared" si="4"/>
        <v>2层</v>
      </c>
      <c r="N33" s="3002">
        <f t="shared" ca="1" si="0"/>
        <v>494795</v>
      </c>
    </row>
    <row r="34" spans="1:14" ht="24">
      <c r="A34" s="3007">
        <v>31</v>
      </c>
      <c r="B34" s="3007" t="s">
        <v>3090</v>
      </c>
      <c r="C34" s="3004" t="s">
        <v>3431</v>
      </c>
      <c r="D34" s="3004" t="s">
        <v>3502</v>
      </c>
      <c r="E34" s="3008" t="s">
        <v>3503</v>
      </c>
      <c r="F34" s="3011">
        <v>52.95</v>
      </c>
      <c r="G34" s="3011">
        <v>5.91</v>
      </c>
      <c r="H34" s="3004" t="s">
        <v>1373</v>
      </c>
      <c r="I34" s="3007" t="s">
        <v>3443</v>
      </c>
      <c r="J34" s="3010">
        <f t="shared" si="1"/>
        <v>56156</v>
      </c>
      <c r="K34" s="3007" t="str">
        <f t="shared" si="2"/>
        <v>12层</v>
      </c>
      <c r="L34" s="3007" t="str">
        <f t="shared" si="4"/>
        <v>2层</v>
      </c>
      <c r="N34" s="3002">
        <f t="shared" ca="1" si="0"/>
        <v>494235</v>
      </c>
    </row>
    <row r="35" spans="1:14" ht="24">
      <c r="A35" s="3007">
        <v>32</v>
      </c>
      <c r="B35" s="3007" t="s">
        <v>3091</v>
      </c>
      <c r="C35" s="3004" t="s">
        <v>3431</v>
      </c>
      <c r="D35" s="3004" t="s">
        <v>3504</v>
      </c>
      <c r="E35" s="3008" t="s">
        <v>3505</v>
      </c>
      <c r="F35" s="3011">
        <v>52.95</v>
      </c>
      <c r="G35" s="3011">
        <v>5.91</v>
      </c>
      <c r="H35" s="3004" t="s">
        <v>1373</v>
      </c>
      <c r="I35" s="3007" t="s">
        <v>3443</v>
      </c>
      <c r="J35" s="3010">
        <f t="shared" si="1"/>
        <v>56156</v>
      </c>
      <c r="K35" s="3007" t="str">
        <f t="shared" si="2"/>
        <v>12层</v>
      </c>
      <c r="L35" s="3007" t="str">
        <f t="shared" si="4"/>
        <v>2层</v>
      </c>
      <c r="N35" s="3002">
        <f t="shared" ca="1" si="0"/>
        <v>494235</v>
      </c>
    </row>
    <row r="36" spans="1:14" ht="24">
      <c r="A36" s="3007">
        <v>33</v>
      </c>
      <c r="B36" s="3007" t="s">
        <v>3092</v>
      </c>
      <c r="C36" s="3004" t="s">
        <v>3431</v>
      </c>
      <c r="D36" s="3004" t="s">
        <v>3506</v>
      </c>
      <c r="E36" s="3008" t="s">
        <v>3507</v>
      </c>
      <c r="F36" s="3011">
        <v>52.92</v>
      </c>
      <c r="G36" s="3011">
        <v>5.91</v>
      </c>
      <c r="H36" s="3004" t="s">
        <v>1373</v>
      </c>
      <c r="I36" s="3007" t="s">
        <v>3443</v>
      </c>
      <c r="J36" s="3010">
        <f t="shared" si="1"/>
        <v>56156</v>
      </c>
      <c r="K36" s="3007" t="str">
        <f t="shared" si="2"/>
        <v>12层</v>
      </c>
      <c r="L36" s="3007" t="str">
        <f t="shared" si="4"/>
        <v>2层</v>
      </c>
      <c r="N36" s="3002">
        <f t="shared" ca="1" si="0"/>
        <v>493955</v>
      </c>
    </row>
    <row r="37" spans="1:14" ht="24">
      <c r="A37" s="3007">
        <v>34</v>
      </c>
      <c r="B37" s="3007" t="s">
        <v>3093</v>
      </c>
      <c r="C37" s="3004" t="s">
        <v>3431</v>
      </c>
      <c r="D37" s="3004" t="s">
        <v>3508</v>
      </c>
      <c r="E37" s="3008" t="s">
        <v>3509</v>
      </c>
      <c r="F37" s="3011">
        <v>72.87</v>
      </c>
      <c r="G37" s="3011">
        <v>8.1300000000000008</v>
      </c>
      <c r="H37" s="3004" t="s">
        <v>1373</v>
      </c>
      <c r="I37" s="3007" t="s">
        <v>3443</v>
      </c>
      <c r="J37" s="3010">
        <f t="shared" si="1"/>
        <v>56156</v>
      </c>
      <c r="K37" s="3007" t="str">
        <f t="shared" si="2"/>
        <v>12层</v>
      </c>
      <c r="L37" s="3007" t="str">
        <f t="shared" si="4"/>
        <v>2层</v>
      </c>
      <c r="N37" s="3002">
        <f t="shared" ca="1" si="0"/>
        <v>680169</v>
      </c>
    </row>
    <row r="38" spans="1:14" ht="24">
      <c r="A38" s="3007">
        <v>35</v>
      </c>
      <c r="B38" s="3007" t="s">
        <v>3094</v>
      </c>
      <c r="C38" s="3004" t="s">
        <v>3431</v>
      </c>
      <c r="D38" s="3004" t="s">
        <v>3510</v>
      </c>
      <c r="E38" s="3008" t="s">
        <v>3511</v>
      </c>
      <c r="F38" s="3011">
        <v>72.239999999999995</v>
      </c>
      <c r="G38" s="3011">
        <v>8.06</v>
      </c>
      <c r="H38" s="3004" t="s">
        <v>1373</v>
      </c>
      <c r="I38" s="3007" t="s">
        <v>3443</v>
      </c>
      <c r="J38" s="3010">
        <f t="shared" si="1"/>
        <v>56156</v>
      </c>
      <c r="K38" s="3007" t="str">
        <f t="shared" si="2"/>
        <v>12层</v>
      </c>
      <c r="L38" s="3007" t="str">
        <f t="shared" si="4"/>
        <v>2层</v>
      </c>
      <c r="N38" s="3002">
        <f t="shared" ca="1" si="0"/>
        <v>674288</v>
      </c>
    </row>
    <row r="39" spans="1:14" ht="24">
      <c r="A39" s="3007">
        <v>36</v>
      </c>
      <c r="B39" s="3007" t="s">
        <v>3095</v>
      </c>
      <c r="C39" s="3004" t="s">
        <v>3431</v>
      </c>
      <c r="D39" s="3004" t="s">
        <v>3512</v>
      </c>
      <c r="E39" s="3008" t="s">
        <v>3513</v>
      </c>
      <c r="F39" s="3011">
        <v>52.92</v>
      </c>
      <c r="G39" s="3011">
        <v>5.91</v>
      </c>
      <c r="H39" s="3004" t="s">
        <v>1373</v>
      </c>
      <c r="I39" s="3007" t="s">
        <v>3443</v>
      </c>
      <c r="J39" s="3010">
        <f t="shared" si="1"/>
        <v>56156</v>
      </c>
      <c r="K39" s="3007" t="str">
        <f t="shared" si="2"/>
        <v>12层</v>
      </c>
      <c r="L39" s="3007" t="str">
        <f t="shared" si="4"/>
        <v>2层</v>
      </c>
      <c r="N39" s="3002">
        <f t="shared" ca="1" si="0"/>
        <v>493955</v>
      </c>
    </row>
    <row r="40" spans="1:14" ht="24">
      <c r="A40" s="3007">
        <v>37</v>
      </c>
      <c r="B40" s="3007" t="s">
        <v>3096</v>
      </c>
      <c r="C40" s="3004" t="s">
        <v>3431</v>
      </c>
      <c r="D40" s="3004" t="s">
        <v>3514</v>
      </c>
      <c r="E40" s="3008" t="s">
        <v>3515</v>
      </c>
      <c r="F40" s="3011">
        <v>52.95</v>
      </c>
      <c r="G40" s="3011">
        <v>5.91</v>
      </c>
      <c r="H40" s="3004" t="s">
        <v>1373</v>
      </c>
      <c r="I40" s="3007" t="s">
        <v>3443</v>
      </c>
      <c r="J40" s="3010">
        <f t="shared" si="1"/>
        <v>56156</v>
      </c>
      <c r="K40" s="3007" t="str">
        <f t="shared" si="2"/>
        <v>12层</v>
      </c>
      <c r="L40" s="3007" t="str">
        <f t="shared" si="4"/>
        <v>2层</v>
      </c>
      <c r="N40" s="3002">
        <f t="shared" ca="1" si="0"/>
        <v>494235</v>
      </c>
    </row>
    <row r="41" spans="1:14" ht="24">
      <c r="A41" s="3007">
        <v>38</v>
      </c>
      <c r="B41" s="3007" t="s">
        <v>3097</v>
      </c>
      <c r="C41" s="3004" t="s">
        <v>3431</v>
      </c>
      <c r="D41" s="3004" t="s">
        <v>3516</v>
      </c>
      <c r="E41" s="3008" t="s">
        <v>3517</v>
      </c>
      <c r="F41" s="3011">
        <v>52.29</v>
      </c>
      <c r="G41" s="3011">
        <v>5.84</v>
      </c>
      <c r="H41" s="3004" t="s">
        <v>1373</v>
      </c>
      <c r="I41" s="3007" t="s">
        <v>3443</v>
      </c>
      <c r="J41" s="3010">
        <f t="shared" si="1"/>
        <v>56156</v>
      </c>
      <c r="K41" s="3007" t="str">
        <f t="shared" si="2"/>
        <v>12层</v>
      </c>
      <c r="L41" s="3007" t="str">
        <f t="shared" si="4"/>
        <v>2层</v>
      </c>
      <c r="N41" s="3002">
        <f t="shared" ca="1" si="0"/>
        <v>488075</v>
      </c>
    </row>
    <row r="42" spans="1:14" ht="24">
      <c r="A42" s="3007">
        <v>39</v>
      </c>
      <c r="B42" s="3007" t="s">
        <v>3098</v>
      </c>
      <c r="C42" s="3004" t="s">
        <v>3431</v>
      </c>
      <c r="D42" s="3004" t="s">
        <v>3518</v>
      </c>
      <c r="E42" s="3008" t="s">
        <v>3519</v>
      </c>
      <c r="F42" s="3011">
        <v>64.63</v>
      </c>
      <c r="G42" s="3011">
        <v>7.21</v>
      </c>
      <c r="H42" s="3004" t="s">
        <v>1373</v>
      </c>
      <c r="I42" s="3007" t="s">
        <v>3443</v>
      </c>
      <c r="J42" s="3010">
        <f t="shared" si="1"/>
        <v>56156</v>
      </c>
      <c r="K42" s="3007" t="str">
        <f t="shared" si="2"/>
        <v>12层</v>
      </c>
      <c r="L42" s="3007" t="str">
        <f t="shared" si="4"/>
        <v>2层</v>
      </c>
      <c r="N42" s="3002">
        <f t="shared" ca="1" si="0"/>
        <v>603256</v>
      </c>
    </row>
    <row r="43" spans="1:14" ht="24">
      <c r="A43" s="3007">
        <v>40</v>
      </c>
      <c r="B43" s="3007" t="s">
        <v>3099</v>
      </c>
      <c r="C43" s="3004" t="s">
        <v>3431</v>
      </c>
      <c r="D43" s="3007" t="s">
        <v>3520</v>
      </c>
      <c r="E43" s="3008" t="s">
        <v>3521</v>
      </c>
      <c r="F43" s="3011">
        <v>50.87</v>
      </c>
      <c r="G43" s="3011">
        <v>5.68</v>
      </c>
      <c r="H43" s="3004" t="s">
        <v>1373</v>
      </c>
      <c r="I43" s="3007" t="s">
        <v>3443</v>
      </c>
      <c r="J43" s="3010">
        <f t="shared" si="1"/>
        <v>56156</v>
      </c>
      <c r="K43" s="3007" t="str">
        <f t="shared" si="2"/>
        <v>12层</v>
      </c>
      <c r="L43" s="3007" t="s">
        <v>3522</v>
      </c>
      <c r="N43" s="3002">
        <f t="shared" ca="1" si="0"/>
        <v>474821</v>
      </c>
    </row>
    <row r="44" spans="1:14" ht="24">
      <c r="A44" s="3007">
        <v>41</v>
      </c>
      <c r="B44" s="3007" t="s">
        <v>3100</v>
      </c>
      <c r="C44" s="3004" t="s">
        <v>3431</v>
      </c>
      <c r="D44" s="3007" t="s">
        <v>3523</v>
      </c>
      <c r="E44" s="3008" t="s">
        <v>3524</v>
      </c>
      <c r="F44" s="3011">
        <v>54.01</v>
      </c>
      <c r="G44" s="3011">
        <v>6.03</v>
      </c>
      <c r="H44" s="3004" t="s">
        <v>1373</v>
      </c>
      <c r="I44" s="3007" t="s">
        <v>3443</v>
      </c>
      <c r="J44" s="3010">
        <f t="shared" si="1"/>
        <v>56156</v>
      </c>
      <c r="K44" s="3007" t="str">
        <f t="shared" si="2"/>
        <v>12层</v>
      </c>
      <c r="L44" s="3007" t="str">
        <f>$L$43</f>
        <v>3层</v>
      </c>
      <c r="N44" s="3002">
        <f t="shared" ca="1" si="0"/>
        <v>504129</v>
      </c>
    </row>
    <row r="45" spans="1:14" ht="24">
      <c r="A45" s="3007">
        <v>42</v>
      </c>
      <c r="B45" s="3007" t="s">
        <v>3101</v>
      </c>
      <c r="C45" s="3004" t="s">
        <v>3431</v>
      </c>
      <c r="D45" s="3007" t="s">
        <v>3525</v>
      </c>
      <c r="E45" s="3008" t="s">
        <v>3526</v>
      </c>
      <c r="F45" s="3011">
        <v>52.04</v>
      </c>
      <c r="G45" s="3011">
        <v>5.81</v>
      </c>
      <c r="H45" s="3004" t="s">
        <v>1373</v>
      </c>
      <c r="I45" s="3007" t="s">
        <v>3443</v>
      </c>
      <c r="J45" s="3010">
        <f t="shared" si="1"/>
        <v>56156</v>
      </c>
      <c r="K45" s="3007" t="str">
        <f t="shared" si="2"/>
        <v>12层</v>
      </c>
      <c r="L45" s="3007" t="str">
        <f t="shared" ref="L45:L64" si="5">$L$43</f>
        <v>3层</v>
      </c>
      <c r="N45" s="3002">
        <f t="shared" ca="1" si="0"/>
        <v>485741</v>
      </c>
    </row>
    <row r="46" spans="1:14" ht="24">
      <c r="A46" s="3007">
        <v>43</v>
      </c>
      <c r="B46" s="3007" t="s">
        <v>3102</v>
      </c>
      <c r="C46" s="3004" t="s">
        <v>3527</v>
      </c>
      <c r="D46" s="3007" t="s">
        <v>3528</v>
      </c>
      <c r="E46" s="3008" t="s">
        <v>3529</v>
      </c>
      <c r="F46" s="3011">
        <v>71.069999999999993</v>
      </c>
      <c r="G46" s="3011">
        <v>7.93</v>
      </c>
      <c r="H46" s="3004" t="s">
        <v>1373</v>
      </c>
      <c r="I46" s="3007" t="s">
        <v>3530</v>
      </c>
      <c r="J46" s="3010">
        <f t="shared" si="1"/>
        <v>56156</v>
      </c>
      <c r="K46" s="3007" t="str">
        <f t="shared" si="2"/>
        <v>12层</v>
      </c>
      <c r="L46" s="3007" t="str">
        <f t="shared" si="5"/>
        <v>3层</v>
      </c>
      <c r="N46" s="3002">
        <f t="shared" ca="1" si="0"/>
        <v>663367</v>
      </c>
    </row>
    <row r="47" spans="1:14" ht="24">
      <c r="A47" s="3007">
        <v>44</v>
      </c>
      <c r="B47" s="3007" t="s">
        <v>3103</v>
      </c>
      <c r="C47" s="3004" t="s">
        <v>3527</v>
      </c>
      <c r="D47" s="3007" t="s">
        <v>3531</v>
      </c>
      <c r="E47" s="3008" t="s">
        <v>3532</v>
      </c>
      <c r="F47" s="3011">
        <v>71.489999999999995</v>
      </c>
      <c r="G47" s="3011">
        <v>7.98</v>
      </c>
      <c r="H47" s="3004" t="s">
        <v>1373</v>
      </c>
      <c r="I47" s="3007" t="s">
        <v>3530</v>
      </c>
      <c r="J47" s="3010">
        <f t="shared" si="1"/>
        <v>56156</v>
      </c>
      <c r="K47" s="3007" t="str">
        <f t="shared" si="2"/>
        <v>12层</v>
      </c>
      <c r="L47" s="3007" t="str">
        <f t="shared" si="5"/>
        <v>3层</v>
      </c>
      <c r="N47" s="3002">
        <f t="shared" ca="1" si="0"/>
        <v>667288</v>
      </c>
    </row>
    <row r="48" spans="1:14" ht="24">
      <c r="A48" s="3007">
        <v>45</v>
      </c>
      <c r="B48" s="3007" t="s">
        <v>3104</v>
      </c>
      <c r="C48" s="3004" t="s">
        <v>3527</v>
      </c>
      <c r="D48" s="3007" t="s">
        <v>3533</v>
      </c>
      <c r="E48" s="3008" t="s">
        <v>3534</v>
      </c>
      <c r="F48" s="3011">
        <v>52.23</v>
      </c>
      <c r="G48" s="3011">
        <v>5.83</v>
      </c>
      <c r="H48" s="3004" t="s">
        <v>1373</v>
      </c>
      <c r="I48" s="3007" t="s">
        <v>3530</v>
      </c>
      <c r="J48" s="3010">
        <f t="shared" si="1"/>
        <v>56156</v>
      </c>
      <c r="K48" s="3007" t="str">
        <f t="shared" si="2"/>
        <v>12层</v>
      </c>
      <c r="L48" s="3007" t="str">
        <f t="shared" si="5"/>
        <v>3层</v>
      </c>
      <c r="N48" s="3002">
        <f t="shared" ca="1" si="0"/>
        <v>487515</v>
      </c>
    </row>
    <row r="49" spans="1:14" ht="24">
      <c r="A49" s="3007">
        <v>46</v>
      </c>
      <c r="B49" s="3007" t="s">
        <v>3105</v>
      </c>
      <c r="C49" s="3004" t="s">
        <v>3527</v>
      </c>
      <c r="D49" s="3007" t="s">
        <v>3535</v>
      </c>
      <c r="E49" s="3008" t="s">
        <v>3536</v>
      </c>
      <c r="F49" s="3011">
        <v>52.3</v>
      </c>
      <c r="G49" s="3011">
        <v>5.84</v>
      </c>
      <c r="H49" s="3004" t="s">
        <v>1373</v>
      </c>
      <c r="I49" s="3007" t="s">
        <v>3443</v>
      </c>
      <c r="J49" s="3010">
        <f t="shared" si="1"/>
        <v>56156</v>
      </c>
      <c r="K49" s="3007" t="str">
        <f t="shared" si="2"/>
        <v>12层</v>
      </c>
      <c r="L49" s="3007" t="str">
        <f t="shared" si="5"/>
        <v>3层</v>
      </c>
      <c r="N49" s="3002">
        <f t="shared" ca="1" si="0"/>
        <v>488168</v>
      </c>
    </row>
    <row r="50" spans="1:14" ht="24">
      <c r="A50" s="3007">
        <v>47</v>
      </c>
      <c r="B50" s="3007" t="s">
        <v>3106</v>
      </c>
      <c r="C50" s="3004" t="s">
        <v>3431</v>
      </c>
      <c r="D50" s="3007" t="s">
        <v>3537</v>
      </c>
      <c r="E50" s="3008" t="s">
        <v>3538</v>
      </c>
      <c r="F50" s="3011">
        <v>52.27</v>
      </c>
      <c r="G50" s="3011">
        <v>5.83</v>
      </c>
      <c r="H50" s="3004" t="s">
        <v>1373</v>
      </c>
      <c r="I50" s="3007" t="s">
        <v>3443</v>
      </c>
      <c r="J50" s="3010">
        <f t="shared" si="1"/>
        <v>56156</v>
      </c>
      <c r="K50" s="3007" t="str">
        <f t="shared" si="2"/>
        <v>12层</v>
      </c>
      <c r="L50" s="3007" t="str">
        <f t="shared" si="5"/>
        <v>3层</v>
      </c>
      <c r="N50" s="3002">
        <f t="shared" ca="1" si="0"/>
        <v>487888</v>
      </c>
    </row>
    <row r="51" spans="1:14" ht="24">
      <c r="A51" s="3007">
        <v>48</v>
      </c>
      <c r="B51" s="3007" t="s">
        <v>3107</v>
      </c>
      <c r="C51" s="3004" t="s">
        <v>3431</v>
      </c>
      <c r="D51" s="3007" t="s">
        <v>3539</v>
      </c>
      <c r="E51" s="3008" t="s">
        <v>3540</v>
      </c>
      <c r="F51" s="3011">
        <v>52.94</v>
      </c>
      <c r="G51" s="3011">
        <v>5.91</v>
      </c>
      <c r="H51" s="3004" t="s">
        <v>1373</v>
      </c>
      <c r="I51" s="3007" t="s">
        <v>3443</v>
      </c>
      <c r="J51" s="3010">
        <f t="shared" si="1"/>
        <v>56156</v>
      </c>
      <c r="K51" s="3007" t="str">
        <f t="shared" si="2"/>
        <v>12层</v>
      </c>
      <c r="L51" s="3007" t="str">
        <f t="shared" si="5"/>
        <v>3层</v>
      </c>
      <c r="N51" s="3002">
        <f t="shared" ca="1" si="0"/>
        <v>494142</v>
      </c>
    </row>
    <row r="52" spans="1:14" ht="24">
      <c r="A52" s="3007">
        <v>49</v>
      </c>
      <c r="B52" s="3007" t="s">
        <v>3108</v>
      </c>
      <c r="C52" s="3004" t="s">
        <v>3431</v>
      </c>
      <c r="D52" s="3007" t="s">
        <v>3541</v>
      </c>
      <c r="E52" s="3008" t="s">
        <v>3542</v>
      </c>
      <c r="F52" s="3011">
        <v>61.19</v>
      </c>
      <c r="G52" s="3011">
        <v>6.83</v>
      </c>
      <c r="H52" s="3004" t="s">
        <v>1373</v>
      </c>
      <c r="I52" s="3007" t="s">
        <v>3443</v>
      </c>
      <c r="J52" s="3010">
        <f t="shared" si="1"/>
        <v>56156</v>
      </c>
      <c r="K52" s="3007" t="str">
        <f t="shared" si="2"/>
        <v>12层</v>
      </c>
      <c r="L52" s="3007" t="str">
        <f t="shared" si="5"/>
        <v>3层</v>
      </c>
      <c r="N52" s="3002">
        <f t="shared" ca="1" si="0"/>
        <v>571147</v>
      </c>
    </row>
    <row r="53" spans="1:14" ht="24">
      <c r="A53" s="3007">
        <v>50</v>
      </c>
      <c r="B53" s="3007" t="s">
        <v>3109</v>
      </c>
      <c r="C53" s="3004" t="s">
        <v>3431</v>
      </c>
      <c r="D53" s="3007" t="s">
        <v>3543</v>
      </c>
      <c r="E53" s="3008" t="s">
        <v>3544</v>
      </c>
      <c r="F53" s="3011">
        <v>65.760000000000005</v>
      </c>
      <c r="G53" s="3011">
        <v>7.34</v>
      </c>
      <c r="H53" s="3004" t="s">
        <v>1373</v>
      </c>
      <c r="I53" s="3007" t="s">
        <v>3443</v>
      </c>
      <c r="J53" s="3010">
        <f t="shared" si="1"/>
        <v>56156</v>
      </c>
      <c r="K53" s="3007" t="str">
        <f t="shared" si="2"/>
        <v>12层</v>
      </c>
      <c r="L53" s="3007" t="str">
        <f t="shared" si="5"/>
        <v>3层</v>
      </c>
      <c r="N53" s="3002">
        <f t="shared" ca="1" si="0"/>
        <v>613804</v>
      </c>
    </row>
    <row r="54" spans="1:14" ht="24">
      <c r="A54" s="3007">
        <v>51</v>
      </c>
      <c r="B54" s="3007" t="s">
        <v>3110</v>
      </c>
      <c r="C54" s="3004" t="s">
        <v>3431</v>
      </c>
      <c r="D54" s="3007" t="s">
        <v>3545</v>
      </c>
      <c r="E54" s="3008" t="s">
        <v>3546</v>
      </c>
      <c r="F54" s="3011">
        <v>60.59</v>
      </c>
      <c r="G54" s="3011">
        <v>6.76</v>
      </c>
      <c r="H54" s="3004" t="s">
        <v>1373</v>
      </c>
      <c r="I54" s="3007" t="s">
        <v>3443</v>
      </c>
      <c r="J54" s="3010">
        <f t="shared" si="1"/>
        <v>56156</v>
      </c>
      <c r="K54" s="3007" t="str">
        <f t="shared" si="2"/>
        <v>12层</v>
      </c>
      <c r="L54" s="3007" t="str">
        <f t="shared" si="5"/>
        <v>3层</v>
      </c>
      <c r="N54" s="3002">
        <f t="shared" ca="1" si="0"/>
        <v>565547</v>
      </c>
    </row>
    <row r="55" spans="1:14" ht="24">
      <c r="A55" s="3007">
        <v>52</v>
      </c>
      <c r="B55" s="3007" t="s">
        <v>3111</v>
      </c>
      <c r="C55" s="3004" t="s">
        <v>3431</v>
      </c>
      <c r="D55" s="3007" t="s">
        <v>3547</v>
      </c>
      <c r="E55" s="3008" t="s">
        <v>3548</v>
      </c>
      <c r="F55" s="3011">
        <v>53.01</v>
      </c>
      <c r="G55" s="3011">
        <v>5.92</v>
      </c>
      <c r="H55" s="3004" t="s">
        <v>1373</v>
      </c>
      <c r="I55" s="3007" t="s">
        <v>3443</v>
      </c>
      <c r="J55" s="3010">
        <f t="shared" si="1"/>
        <v>56156</v>
      </c>
      <c r="K55" s="3007" t="str">
        <f t="shared" si="2"/>
        <v>12层</v>
      </c>
      <c r="L55" s="3007" t="str">
        <f t="shared" si="5"/>
        <v>3层</v>
      </c>
      <c r="N55" s="3002">
        <f t="shared" ca="1" si="0"/>
        <v>494795</v>
      </c>
    </row>
    <row r="56" spans="1:14" ht="24">
      <c r="A56" s="3007">
        <v>53</v>
      </c>
      <c r="B56" s="3007" t="s">
        <v>3112</v>
      </c>
      <c r="C56" s="3004" t="s">
        <v>3431</v>
      </c>
      <c r="D56" s="3007" t="s">
        <v>3549</v>
      </c>
      <c r="E56" s="3008" t="s">
        <v>3550</v>
      </c>
      <c r="F56" s="3011">
        <v>52.95</v>
      </c>
      <c r="G56" s="3011">
        <v>5.91</v>
      </c>
      <c r="H56" s="3004" t="s">
        <v>1373</v>
      </c>
      <c r="I56" s="3007" t="s">
        <v>3440</v>
      </c>
      <c r="J56" s="3010">
        <f t="shared" si="1"/>
        <v>56156</v>
      </c>
      <c r="K56" s="3007" t="str">
        <f t="shared" si="2"/>
        <v>12层</v>
      </c>
      <c r="L56" s="3007" t="str">
        <f t="shared" si="5"/>
        <v>3层</v>
      </c>
      <c r="N56" s="3002">
        <f t="shared" ca="1" si="0"/>
        <v>494235</v>
      </c>
    </row>
    <row r="57" spans="1:14" ht="24">
      <c r="A57" s="3007">
        <v>54</v>
      </c>
      <c r="B57" s="3007" t="s">
        <v>3113</v>
      </c>
      <c r="C57" s="3004" t="s">
        <v>3477</v>
      </c>
      <c r="D57" s="3007" t="s">
        <v>3551</v>
      </c>
      <c r="E57" s="3008" t="s">
        <v>3552</v>
      </c>
      <c r="F57" s="3011">
        <v>52.95</v>
      </c>
      <c r="G57" s="3011">
        <v>5.91</v>
      </c>
      <c r="H57" s="3004" t="s">
        <v>1373</v>
      </c>
      <c r="I57" s="3007" t="s">
        <v>3440</v>
      </c>
      <c r="J57" s="3010">
        <f t="shared" si="1"/>
        <v>56156</v>
      </c>
      <c r="K57" s="3007" t="str">
        <f t="shared" si="2"/>
        <v>12层</v>
      </c>
      <c r="L57" s="3007" t="str">
        <f t="shared" si="5"/>
        <v>3层</v>
      </c>
      <c r="N57" s="3002">
        <f t="shared" ca="1" si="0"/>
        <v>494235</v>
      </c>
    </row>
    <row r="58" spans="1:14" ht="24">
      <c r="A58" s="3007">
        <v>55</v>
      </c>
      <c r="B58" s="3007" t="s">
        <v>3114</v>
      </c>
      <c r="C58" s="3004" t="s">
        <v>3477</v>
      </c>
      <c r="D58" s="3007" t="s">
        <v>3553</v>
      </c>
      <c r="E58" s="3008" t="s">
        <v>3554</v>
      </c>
      <c r="F58" s="3011">
        <v>52.92</v>
      </c>
      <c r="G58" s="3011">
        <v>5.91</v>
      </c>
      <c r="H58" s="3004" t="s">
        <v>1373</v>
      </c>
      <c r="I58" s="3007" t="s">
        <v>3440</v>
      </c>
      <c r="J58" s="3010">
        <f t="shared" si="1"/>
        <v>56156</v>
      </c>
      <c r="K58" s="3007" t="str">
        <f t="shared" si="2"/>
        <v>12层</v>
      </c>
      <c r="L58" s="3007" t="str">
        <f t="shared" si="5"/>
        <v>3层</v>
      </c>
      <c r="N58" s="3002">
        <f t="shared" ca="1" si="0"/>
        <v>493955</v>
      </c>
    </row>
    <row r="59" spans="1:14" ht="24">
      <c r="A59" s="3007">
        <v>56</v>
      </c>
      <c r="B59" s="3007" t="s">
        <v>3115</v>
      </c>
      <c r="C59" s="3004" t="s">
        <v>3477</v>
      </c>
      <c r="D59" s="3007" t="s">
        <v>3555</v>
      </c>
      <c r="E59" s="3008" t="s">
        <v>3556</v>
      </c>
      <c r="F59" s="3011">
        <v>72.87</v>
      </c>
      <c r="G59" s="3011">
        <v>8.1300000000000008</v>
      </c>
      <c r="H59" s="3004" t="s">
        <v>1373</v>
      </c>
      <c r="I59" s="3007" t="s">
        <v>3440</v>
      </c>
      <c r="J59" s="3010">
        <f t="shared" si="1"/>
        <v>56156</v>
      </c>
      <c r="K59" s="3007" t="str">
        <f t="shared" si="2"/>
        <v>12层</v>
      </c>
      <c r="L59" s="3007" t="str">
        <f t="shared" si="5"/>
        <v>3层</v>
      </c>
      <c r="N59" s="3002">
        <f t="shared" ca="1" si="0"/>
        <v>680169</v>
      </c>
    </row>
    <row r="60" spans="1:14" ht="24">
      <c r="A60" s="3007">
        <v>57</v>
      </c>
      <c r="B60" s="3007" t="s">
        <v>3116</v>
      </c>
      <c r="C60" s="3004" t="s">
        <v>3477</v>
      </c>
      <c r="D60" s="3007" t="s">
        <v>3557</v>
      </c>
      <c r="E60" s="3008" t="s">
        <v>3558</v>
      </c>
      <c r="F60" s="3011">
        <v>72.239999999999995</v>
      </c>
      <c r="G60" s="3011">
        <v>8.06</v>
      </c>
      <c r="H60" s="3004" t="s">
        <v>1373</v>
      </c>
      <c r="I60" s="3007" t="s">
        <v>3440</v>
      </c>
      <c r="J60" s="3010">
        <f t="shared" si="1"/>
        <v>56156</v>
      </c>
      <c r="K60" s="3007" t="str">
        <f t="shared" si="2"/>
        <v>12层</v>
      </c>
      <c r="L60" s="3007" t="str">
        <f t="shared" si="5"/>
        <v>3层</v>
      </c>
      <c r="N60" s="3002">
        <f t="shared" ca="1" si="0"/>
        <v>674288</v>
      </c>
    </row>
    <row r="61" spans="1:14" ht="24">
      <c r="A61" s="3007">
        <v>58</v>
      </c>
      <c r="B61" s="3007" t="s">
        <v>3117</v>
      </c>
      <c r="C61" s="3004" t="s">
        <v>3477</v>
      </c>
      <c r="D61" s="3007" t="s">
        <v>3559</v>
      </c>
      <c r="E61" s="3008" t="s">
        <v>3560</v>
      </c>
      <c r="F61" s="3011">
        <v>52.92</v>
      </c>
      <c r="G61" s="3011">
        <v>5.91</v>
      </c>
      <c r="H61" s="3004" t="s">
        <v>1373</v>
      </c>
      <c r="I61" s="3007" t="s">
        <v>3440</v>
      </c>
      <c r="J61" s="3010">
        <f t="shared" si="1"/>
        <v>56156</v>
      </c>
      <c r="K61" s="3007" t="str">
        <f t="shared" si="2"/>
        <v>12层</v>
      </c>
      <c r="L61" s="3007" t="str">
        <f t="shared" si="5"/>
        <v>3层</v>
      </c>
      <c r="N61" s="3002">
        <f t="shared" ca="1" si="0"/>
        <v>493955</v>
      </c>
    </row>
    <row r="62" spans="1:14" ht="24">
      <c r="A62" s="3007">
        <v>59</v>
      </c>
      <c r="B62" s="3007" t="s">
        <v>3118</v>
      </c>
      <c r="C62" s="3004" t="s">
        <v>3477</v>
      </c>
      <c r="D62" s="3007" t="s">
        <v>3561</v>
      </c>
      <c r="E62" s="3008" t="s">
        <v>3562</v>
      </c>
      <c r="F62" s="3011">
        <v>52.95</v>
      </c>
      <c r="G62" s="3011">
        <v>5.91</v>
      </c>
      <c r="H62" s="3004" t="s">
        <v>1373</v>
      </c>
      <c r="I62" s="3007" t="s">
        <v>3563</v>
      </c>
      <c r="J62" s="3010">
        <f t="shared" si="1"/>
        <v>56156</v>
      </c>
      <c r="K62" s="3007" t="str">
        <f t="shared" si="2"/>
        <v>12层</v>
      </c>
      <c r="L62" s="3007" t="str">
        <f t="shared" si="5"/>
        <v>3层</v>
      </c>
      <c r="N62" s="3002">
        <f t="shared" ca="1" si="0"/>
        <v>494235</v>
      </c>
    </row>
    <row r="63" spans="1:14" ht="24">
      <c r="A63" s="3007">
        <v>60</v>
      </c>
      <c r="B63" s="3007" t="s">
        <v>3119</v>
      </c>
      <c r="C63" s="3004" t="s">
        <v>3564</v>
      </c>
      <c r="D63" s="3007" t="s">
        <v>3565</v>
      </c>
      <c r="E63" s="3008" t="s">
        <v>3566</v>
      </c>
      <c r="F63" s="3011">
        <v>52.29</v>
      </c>
      <c r="G63" s="3011">
        <v>5.84</v>
      </c>
      <c r="H63" s="3004" t="s">
        <v>1373</v>
      </c>
      <c r="I63" s="3007" t="s">
        <v>3563</v>
      </c>
      <c r="J63" s="3010">
        <f t="shared" si="1"/>
        <v>56156</v>
      </c>
      <c r="K63" s="3007" t="str">
        <f t="shared" si="2"/>
        <v>12层</v>
      </c>
      <c r="L63" s="3007" t="str">
        <f t="shared" si="5"/>
        <v>3层</v>
      </c>
      <c r="N63" s="3002">
        <f t="shared" ca="1" si="0"/>
        <v>488075</v>
      </c>
    </row>
    <row r="64" spans="1:14" ht="24">
      <c r="A64" s="3007">
        <v>61</v>
      </c>
      <c r="B64" s="3007" t="s">
        <v>3120</v>
      </c>
      <c r="C64" s="3004" t="s">
        <v>3564</v>
      </c>
      <c r="D64" s="3007" t="s">
        <v>3567</v>
      </c>
      <c r="E64" s="3008" t="s">
        <v>3568</v>
      </c>
      <c r="F64" s="3011">
        <v>64.63</v>
      </c>
      <c r="G64" s="3011">
        <v>7.21</v>
      </c>
      <c r="H64" s="3004" t="s">
        <v>1373</v>
      </c>
      <c r="I64" s="3007" t="s">
        <v>3563</v>
      </c>
      <c r="J64" s="3010">
        <f t="shared" si="1"/>
        <v>56156</v>
      </c>
      <c r="K64" s="3007" t="str">
        <f t="shared" si="2"/>
        <v>12层</v>
      </c>
      <c r="L64" s="3007" t="str">
        <f t="shared" si="5"/>
        <v>3层</v>
      </c>
      <c r="N64" s="3002">
        <f t="shared" ca="1" si="0"/>
        <v>603256</v>
      </c>
    </row>
    <row r="65" spans="1:14" ht="24">
      <c r="A65" s="3007">
        <v>62</v>
      </c>
      <c r="B65" s="3007" t="s">
        <v>3121</v>
      </c>
      <c r="C65" s="3004" t="s">
        <v>3564</v>
      </c>
      <c r="D65" s="3007" t="s">
        <v>3569</v>
      </c>
      <c r="E65" s="3008" t="s">
        <v>3570</v>
      </c>
      <c r="F65" s="3011">
        <v>50.87</v>
      </c>
      <c r="G65" s="3011">
        <v>5.68</v>
      </c>
      <c r="H65" s="3004" t="s">
        <v>1373</v>
      </c>
      <c r="I65" s="3007" t="s">
        <v>3563</v>
      </c>
      <c r="J65" s="3010">
        <f t="shared" si="1"/>
        <v>56156</v>
      </c>
      <c r="K65" s="3007" t="str">
        <f t="shared" si="2"/>
        <v>12层</v>
      </c>
      <c r="L65" s="3007" t="s">
        <v>3571</v>
      </c>
      <c r="N65" s="3002">
        <f t="shared" ca="1" si="0"/>
        <v>474821</v>
      </c>
    </row>
    <row r="66" spans="1:14" ht="24">
      <c r="A66" s="3007">
        <v>63</v>
      </c>
      <c r="B66" s="3007" t="s">
        <v>3122</v>
      </c>
      <c r="C66" s="3004" t="s">
        <v>3564</v>
      </c>
      <c r="D66" s="3007" t="s">
        <v>3572</v>
      </c>
      <c r="E66" s="3008" t="s">
        <v>3573</v>
      </c>
      <c r="F66" s="3011">
        <v>54.01</v>
      </c>
      <c r="G66" s="3011">
        <v>6.03</v>
      </c>
      <c r="H66" s="3004" t="s">
        <v>1373</v>
      </c>
      <c r="I66" s="3007" t="s">
        <v>3563</v>
      </c>
      <c r="J66" s="3010">
        <f t="shared" si="1"/>
        <v>56156</v>
      </c>
      <c r="K66" s="3007" t="str">
        <f t="shared" si="2"/>
        <v>12层</v>
      </c>
      <c r="L66" s="3007" t="str">
        <f>$L$65</f>
        <v>4层</v>
      </c>
      <c r="N66" s="3002">
        <f t="shared" ca="1" si="0"/>
        <v>504129</v>
      </c>
    </row>
    <row r="67" spans="1:14" ht="24">
      <c r="A67" s="3007">
        <v>64</v>
      </c>
      <c r="B67" s="3007" t="s">
        <v>3123</v>
      </c>
      <c r="C67" s="3004" t="s">
        <v>3477</v>
      </c>
      <c r="D67" s="3007" t="s">
        <v>3574</v>
      </c>
      <c r="E67" s="3008" t="s">
        <v>3575</v>
      </c>
      <c r="F67" s="3011">
        <v>52.04</v>
      </c>
      <c r="G67" s="3011">
        <v>5.81</v>
      </c>
      <c r="H67" s="3004" t="s">
        <v>1373</v>
      </c>
      <c r="I67" s="3007" t="s">
        <v>3440</v>
      </c>
      <c r="J67" s="3010">
        <f t="shared" si="1"/>
        <v>56156</v>
      </c>
      <c r="K67" s="3007" t="str">
        <f t="shared" si="2"/>
        <v>12层</v>
      </c>
      <c r="L67" s="3007" t="str">
        <f t="shared" ref="L67:L86" si="6">$L$65</f>
        <v>4层</v>
      </c>
      <c r="N67" s="3002">
        <f t="shared" ca="1" si="0"/>
        <v>485741</v>
      </c>
    </row>
    <row r="68" spans="1:14" ht="24">
      <c r="A68" s="3007">
        <v>65</v>
      </c>
      <c r="B68" s="3007" t="s">
        <v>3124</v>
      </c>
      <c r="C68" s="3004" t="s">
        <v>3477</v>
      </c>
      <c r="D68" s="3007" t="s">
        <v>3576</v>
      </c>
      <c r="E68" s="3008" t="s">
        <v>3577</v>
      </c>
      <c r="F68" s="3011">
        <v>71.069999999999993</v>
      </c>
      <c r="G68" s="3011">
        <v>7.93</v>
      </c>
      <c r="H68" s="3004" t="s">
        <v>1373</v>
      </c>
      <c r="I68" s="3007" t="s">
        <v>3440</v>
      </c>
      <c r="J68" s="3010">
        <f t="shared" si="1"/>
        <v>56156</v>
      </c>
      <c r="K68" s="3007" t="str">
        <f t="shared" si="2"/>
        <v>12层</v>
      </c>
      <c r="L68" s="3007" t="str">
        <f t="shared" si="6"/>
        <v>4层</v>
      </c>
      <c r="N68" s="3002">
        <f t="shared" ca="1" si="0"/>
        <v>663367</v>
      </c>
    </row>
    <row r="69" spans="1:14" ht="24">
      <c r="A69" s="3007">
        <v>66</v>
      </c>
      <c r="B69" s="3007" t="s">
        <v>3125</v>
      </c>
      <c r="C69" s="3004" t="s">
        <v>3477</v>
      </c>
      <c r="D69" s="3007" t="s">
        <v>3578</v>
      </c>
      <c r="E69" s="3008" t="s">
        <v>3579</v>
      </c>
      <c r="F69" s="3011">
        <v>71.489999999999995</v>
      </c>
      <c r="G69" s="3011">
        <v>7.98</v>
      </c>
      <c r="H69" s="3004" t="s">
        <v>1373</v>
      </c>
      <c r="I69" s="3007" t="s">
        <v>3440</v>
      </c>
      <c r="J69" s="3010">
        <f t="shared" si="1"/>
        <v>56156</v>
      </c>
      <c r="K69" s="3007" t="str">
        <f t="shared" si="2"/>
        <v>12层</v>
      </c>
      <c r="L69" s="3007" t="str">
        <f t="shared" si="6"/>
        <v>4层</v>
      </c>
      <c r="N69" s="3002">
        <f t="shared" ref="N69:N132" ca="1" si="7">ROUND(F69*$M$4,0)</f>
        <v>667288</v>
      </c>
    </row>
    <row r="70" spans="1:14" ht="24">
      <c r="A70" s="3007">
        <v>67</v>
      </c>
      <c r="B70" s="3007" t="s">
        <v>3126</v>
      </c>
      <c r="C70" s="3004" t="s">
        <v>3477</v>
      </c>
      <c r="D70" s="3007" t="s">
        <v>3580</v>
      </c>
      <c r="E70" s="3008" t="s">
        <v>3581</v>
      </c>
      <c r="F70" s="3011">
        <v>52.23</v>
      </c>
      <c r="G70" s="3011">
        <v>5.83</v>
      </c>
      <c r="H70" s="3004" t="s">
        <v>1373</v>
      </c>
      <c r="I70" s="3007" t="s">
        <v>3440</v>
      </c>
      <c r="J70" s="3010">
        <f t="shared" ref="J70:J133" si="8">$J$4</f>
        <v>56156</v>
      </c>
      <c r="K70" s="3007" t="str">
        <f t="shared" ref="K70:K133" si="9">$K$4</f>
        <v>12层</v>
      </c>
      <c r="L70" s="3007" t="str">
        <f t="shared" si="6"/>
        <v>4层</v>
      </c>
      <c r="N70" s="3002">
        <f t="shared" ca="1" si="7"/>
        <v>487515</v>
      </c>
    </row>
    <row r="71" spans="1:14" ht="24">
      <c r="A71" s="3007">
        <v>68</v>
      </c>
      <c r="B71" s="3007" t="s">
        <v>3127</v>
      </c>
      <c r="C71" s="3004" t="s">
        <v>3527</v>
      </c>
      <c r="D71" s="3007" t="s">
        <v>3582</v>
      </c>
      <c r="E71" s="3008" t="s">
        <v>3583</v>
      </c>
      <c r="F71" s="3011">
        <v>52.3</v>
      </c>
      <c r="G71" s="3011">
        <v>5.84</v>
      </c>
      <c r="H71" s="3004" t="s">
        <v>1373</v>
      </c>
      <c r="I71" s="3007" t="s">
        <v>3530</v>
      </c>
      <c r="J71" s="3010">
        <f t="shared" si="8"/>
        <v>56156</v>
      </c>
      <c r="K71" s="3007" t="str">
        <f t="shared" si="9"/>
        <v>12层</v>
      </c>
      <c r="L71" s="3007" t="str">
        <f t="shared" si="6"/>
        <v>4层</v>
      </c>
      <c r="N71" s="3002">
        <f t="shared" ca="1" si="7"/>
        <v>488168</v>
      </c>
    </row>
    <row r="72" spans="1:14" ht="24">
      <c r="A72" s="3007">
        <v>69</v>
      </c>
      <c r="B72" s="3007" t="s">
        <v>3128</v>
      </c>
      <c r="C72" s="3004" t="s">
        <v>3527</v>
      </c>
      <c r="D72" s="3007" t="s">
        <v>3584</v>
      </c>
      <c r="E72" s="3008" t="s">
        <v>3585</v>
      </c>
      <c r="F72" s="3011">
        <v>52.27</v>
      </c>
      <c r="G72" s="3011">
        <v>5.83</v>
      </c>
      <c r="H72" s="3004" t="s">
        <v>1373</v>
      </c>
      <c r="I72" s="3007" t="s">
        <v>3443</v>
      </c>
      <c r="J72" s="3010">
        <f t="shared" si="8"/>
        <v>56156</v>
      </c>
      <c r="K72" s="3007" t="str">
        <f t="shared" si="9"/>
        <v>12层</v>
      </c>
      <c r="L72" s="3007" t="str">
        <f t="shared" si="6"/>
        <v>4层</v>
      </c>
      <c r="N72" s="3002">
        <f t="shared" ca="1" si="7"/>
        <v>487888</v>
      </c>
    </row>
    <row r="73" spans="1:14" ht="24">
      <c r="A73" s="3007">
        <v>70</v>
      </c>
      <c r="B73" s="3007" t="s">
        <v>3129</v>
      </c>
      <c r="C73" s="3004" t="s">
        <v>3431</v>
      </c>
      <c r="D73" s="3007" t="s">
        <v>3586</v>
      </c>
      <c r="E73" s="3008" t="s">
        <v>3587</v>
      </c>
      <c r="F73" s="3011">
        <v>52.94</v>
      </c>
      <c r="G73" s="3011">
        <v>5.91</v>
      </c>
      <c r="H73" s="3004" t="s">
        <v>1373</v>
      </c>
      <c r="I73" s="3007" t="s">
        <v>3443</v>
      </c>
      <c r="J73" s="3010">
        <f t="shared" si="8"/>
        <v>56156</v>
      </c>
      <c r="K73" s="3007" t="str">
        <f t="shared" si="9"/>
        <v>12层</v>
      </c>
      <c r="L73" s="3007" t="str">
        <f t="shared" si="6"/>
        <v>4层</v>
      </c>
      <c r="N73" s="3002">
        <f t="shared" ca="1" si="7"/>
        <v>494142</v>
      </c>
    </row>
    <row r="74" spans="1:14" ht="24">
      <c r="A74" s="3007">
        <v>71</v>
      </c>
      <c r="B74" s="3007" t="s">
        <v>3130</v>
      </c>
      <c r="C74" s="3004" t="s">
        <v>3431</v>
      </c>
      <c r="D74" s="3007" t="s">
        <v>3588</v>
      </c>
      <c r="E74" s="3008" t="s">
        <v>3589</v>
      </c>
      <c r="F74" s="3011">
        <v>61.19</v>
      </c>
      <c r="G74" s="3011">
        <v>6.83</v>
      </c>
      <c r="H74" s="3004" t="s">
        <v>1373</v>
      </c>
      <c r="I74" s="3007" t="s">
        <v>3443</v>
      </c>
      <c r="J74" s="3010">
        <f t="shared" si="8"/>
        <v>56156</v>
      </c>
      <c r="K74" s="3007" t="str">
        <f t="shared" si="9"/>
        <v>12层</v>
      </c>
      <c r="L74" s="3007" t="str">
        <f t="shared" si="6"/>
        <v>4层</v>
      </c>
      <c r="N74" s="3002">
        <f t="shared" ca="1" si="7"/>
        <v>571147</v>
      </c>
    </row>
    <row r="75" spans="1:14" ht="24">
      <c r="A75" s="3007">
        <v>72</v>
      </c>
      <c r="B75" s="3007" t="s">
        <v>3131</v>
      </c>
      <c r="C75" s="3004" t="s">
        <v>3431</v>
      </c>
      <c r="D75" s="3007" t="s">
        <v>3590</v>
      </c>
      <c r="E75" s="3008" t="s">
        <v>3591</v>
      </c>
      <c r="F75" s="3011">
        <v>65.760000000000005</v>
      </c>
      <c r="G75" s="3011">
        <v>7.34</v>
      </c>
      <c r="H75" s="3004" t="s">
        <v>1373</v>
      </c>
      <c r="I75" s="3007" t="s">
        <v>3443</v>
      </c>
      <c r="J75" s="3010">
        <f t="shared" si="8"/>
        <v>56156</v>
      </c>
      <c r="K75" s="3007" t="str">
        <f t="shared" si="9"/>
        <v>12层</v>
      </c>
      <c r="L75" s="3007" t="str">
        <f t="shared" si="6"/>
        <v>4层</v>
      </c>
      <c r="N75" s="3002">
        <f t="shared" ca="1" si="7"/>
        <v>613804</v>
      </c>
    </row>
    <row r="76" spans="1:14" ht="24">
      <c r="A76" s="3007">
        <v>73</v>
      </c>
      <c r="B76" s="3007" t="s">
        <v>3132</v>
      </c>
      <c r="C76" s="3004" t="s">
        <v>3431</v>
      </c>
      <c r="D76" s="3007" t="s">
        <v>3592</v>
      </c>
      <c r="E76" s="3008" t="s">
        <v>3593</v>
      </c>
      <c r="F76" s="3011">
        <v>60.59</v>
      </c>
      <c r="G76" s="3011">
        <v>6.76</v>
      </c>
      <c r="H76" s="3004" t="s">
        <v>1373</v>
      </c>
      <c r="I76" s="3007" t="s">
        <v>3443</v>
      </c>
      <c r="J76" s="3010">
        <f t="shared" si="8"/>
        <v>56156</v>
      </c>
      <c r="K76" s="3007" t="str">
        <f t="shared" si="9"/>
        <v>12层</v>
      </c>
      <c r="L76" s="3007" t="str">
        <f t="shared" si="6"/>
        <v>4层</v>
      </c>
      <c r="N76" s="3002">
        <f t="shared" ca="1" si="7"/>
        <v>565547</v>
      </c>
    </row>
    <row r="77" spans="1:14" ht="24">
      <c r="A77" s="3007">
        <v>74</v>
      </c>
      <c r="B77" s="3007" t="s">
        <v>3133</v>
      </c>
      <c r="C77" s="3004" t="s">
        <v>3431</v>
      </c>
      <c r="D77" s="3007" t="s">
        <v>3594</v>
      </c>
      <c r="E77" s="3008" t="s">
        <v>3595</v>
      </c>
      <c r="F77" s="3011">
        <v>53.01</v>
      </c>
      <c r="G77" s="3011">
        <v>5.92</v>
      </c>
      <c r="H77" s="3004" t="s">
        <v>1373</v>
      </c>
      <c r="I77" s="3007" t="s">
        <v>3443</v>
      </c>
      <c r="J77" s="3010">
        <f t="shared" si="8"/>
        <v>56156</v>
      </c>
      <c r="K77" s="3007" t="str">
        <f t="shared" si="9"/>
        <v>12层</v>
      </c>
      <c r="L77" s="3007" t="str">
        <f t="shared" si="6"/>
        <v>4层</v>
      </c>
      <c r="N77" s="3002">
        <f t="shared" ca="1" si="7"/>
        <v>494795</v>
      </c>
    </row>
    <row r="78" spans="1:14" ht="24">
      <c r="A78" s="3007">
        <v>75</v>
      </c>
      <c r="B78" s="3007" t="s">
        <v>3134</v>
      </c>
      <c r="C78" s="3004" t="s">
        <v>3431</v>
      </c>
      <c r="D78" s="3007" t="s">
        <v>3596</v>
      </c>
      <c r="E78" s="3008" t="s">
        <v>3597</v>
      </c>
      <c r="F78" s="3011">
        <v>52.95</v>
      </c>
      <c r="G78" s="3011">
        <v>5.91</v>
      </c>
      <c r="H78" s="3004" t="s">
        <v>1373</v>
      </c>
      <c r="I78" s="3007" t="s">
        <v>3443</v>
      </c>
      <c r="J78" s="3010">
        <f t="shared" si="8"/>
        <v>56156</v>
      </c>
      <c r="K78" s="3007" t="str">
        <f t="shared" si="9"/>
        <v>12层</v>
      </c>
      <c r="L78" s="3007" t="str">
        <f t="shared" si="6"/>
        <v>4层</v>
      </c>
      <c r="N78" s="3002">
        <f t="shared" ca="1" si="7"/>
        <v>494235</v>
      </c>
    </row>
    <row r="79" spans="1:14" ht="24">
      <c r="A79" s="3007">
        <v>76</v>
      </c>
      <c r="B79" s="3007" t="s">
        <v>3135</v>
      </c>
      <c r="C79" s="3004" t="s">
        <v>3431</v>
      </c>
      <c r="D79" s="3007" t="s">
        <v>3598</v>
      </c>
      <c r="E79" s="3008" t="s">
        <v>3599</v>
      </c>
      <c r="F79" s="3011">
        <v>52.95</v>
      </c>
      <c r="G79" s="3011">
        <v>5.91</v>
      </c>
      <c r="H79" s="3004" t="s">
        <v>1373</v>
      </c>
      <c r="I79" s="3007" t="s">
        <v>3443</v>
      </c>
      <c r="J79" s="3010">
        <f t="shared" si="8"/>
        <v>56156</v>
      </c>
      <c r="K79" s="3007" t="str">
        <f t="shared" si="9"/>
        <v>12层</v>
      </c>
      <c r="L79" s="3007" t="str">
        <f t="shared" si="6"/>
        <v>4层</v>
      </c>
      <c r="N79" s="3002">
        <f t="shared" ca="1" si="7"/>
        <v>494235</v>
      </c>
    </row>
    <row r="80" spans="1:14" ht="24">
      <c r="A80" s="3007">
        <v>77</v>
      </c>
      <c r="B80" s="3007" t="s">
        <v>3136</v>
      </c>
      <c r="C80" s="3004" t="s">
        <v>3431</v>
      </c>
      <c r="D80" s="3007" t="s">
        <v>3600</v>
      </c>
      <c r="E80" s="3008" t="s">
        <v>3601</v>
      </c>
      <c r="F80" s="3011">
        <v>52.92</v>
      </c>
      <c r="G80" s="3011">
        <v>5.91</v>
      </c>
      <c r="H80" s="3004" t="s">
        <v>1373</v>
      </c>
      <c r="I80" s="3007" t="s">
        <v>3443</v>
      </c>
      <c r="J80" s="3010">
        <f t="shared" si="8"/>
        <v>56156</v>
      </c>
      <c r="K80" s="3007" t="str">
        <f t="shared" si="9"/>
        <v>12层</v>
      </c>
      <c r="L80" s="3007" t="str">
        <f t="shared" si="6"/>
        <v>4层</v>
      </c>
      <c r="N80" s="3002">
        <f t="shared" ca="1" si="7"/>
        <v>493955</v>
      </c>
    </row>
    <row r="81" spans="1:14" ht="24">
      <c r="A81" s="3007">
        <v>78</v>
      </c>
      <c r="B81" s="3007" t="s">
        <v>3137</v>
      </c>
      <c r="C81" s="3004" t="s">
        <v>3431</v>
      </c>
      <c r="D81" s="3007" t="s">
        <v>3602</v>
      </c>
      <c r="E81" s="3008" t="s">
        <v>3603</v>
      </c>
      <c r="F81" s="3011">
        <v>72.87</v>
      </c>
      <c r="G81" s="3011">
        <v>8.1300000000000008</v>
      </c>
      <c r="H81" s="3004" t="s">
        <v>1373</v>
      </c>
      <c r="I81" s="3007" t="s">
        <v>3443</v>
      </c>
      <c r="J81" s="3010">
        <f t="shared" si="8"/>
        <v>56156</v>
      </c>
      <c r="K81" s="3007" t="str">
        <f t="shared" si="9"/>
        <v>12层</v>
      </c>
      <c r="L81" s="3007" t="str">
        <f t="shared" si="6"/>
        <v>4层</v>
      </c>
      <c r="N81" s="3002">
        <f t="shared" ca="1" si="7"/>
        <v>680169</v>
      </c>
    </row>
    <row r="82" spans="1:14" ht="24">
      <c r="A82" s="3007">
        <v>79</v>
      </c>
      <c r="B82" s="3007" t="s">
        <v>3138</v>
      </c>
      <c r="C82" s="3004" t="s">
        <v>3431</v>
      </c>
      <c r="D82" s="3007" t="s">
        <v>3604</v>
      </c>
      <c r="E82" s="3008" t="s">
        <v>3605</v>
      </c>
      <c r="F82" s="3011">
        <v>72.239999999999995</v>
      </c>
      <c r="G82" s="3011">
        <v>8.06</v>
      </c>
      <c r="H82" s="3004" t="s">
        <v>1373</v>
      </c>
      <c r="I82" s="3007" t="s">
        <v>3443</v>
      </c>
      <c r="J82" s="3010">
        <f t="shared" si="8"/>
        <v>56156</v>
      </c>
      <c r="K82" s="3007" t="str">
        <f t="shared" si="9"/>
        <v>12层</v>
      </c>
      <c r="L82" s="3007" t="str">
        <f t="shared" si="6"/>
        <v>4层</v>
      </c>
      <c r="N82" s="3002">
        <f t="shared" ca="1" si="7"/>
        <v>674288</v>
      </c>
    </row>
    <row r="83" spans="1:14" ht="24">
      <c r="A83" s="3007">
        <v>80</v>
      </c>
      <c r="B83" s="3007" t="s">
        <v>3139</v>
      </c>
      <c r="C83" s="3004" t="s">
        <v>3431</v>
      </c>
      <c r="D83" s="3007" t="s">
        <v>3606</v>
      </c>
      <c r="E83" s="3008" t="s">
        <v>3607</v>
      </c>
      <c r="F83" s="3011">
        <v>52.92</v>
      </c>
      <c r="G83" s="3011">
        <v>5.91</v>
      </c>
      <c r="H83" s="3004" t="s">
        <v>1373</v>
      </c>
      <c r="I83" s="3007" t="s">
        <v>3443</v>
      </c>
      <c r="J83" s="3010">
        <f t="shared" si="8"/>
        <v>56156</v>
      </c>
      <c r="K83" s="3007" t="str">
        <f t="shared" si="9"/>
        <v>12层</v>
      </c>
      <c r="L83" s="3007" t="str">
        <f t="shared" si="6"/>
        <v>4层</v>
      </c>
      <c r="N83" s="3002">
        <f t="shared" ca="1" si="7"/>
        <v>493955</v>
      </c>
    </row>
    <row r="84" spans="1:14" ht="24">
      <c r="A84" s="3007">
        <v>81</v>
      </c>
      <c r="B84" s="3007" t="s">
        <v>3140</v>
      </c>
      <c r="C84" s="3004" t="s">
        <v>3431</v>
      </c>
      <c r="D84" s="3007" t="s">
        <v>3608</v>
      </c>
      <c r="E84" s="3008" t="s">
        <v>3609</v>
      </c>
      <c r="F84" s="3011">
        <v>52.95</v>
      </c>
      <c r="G84" s="3011">
        <v>5.91</v>
      </c>
      <c r="H84" s="3004" t="s">
        <v>1373</v>
      </c>
      <c r="I84" s="3007" t="s">
        <v>3443</v>
      </c>
      <c r="J84" s="3010">
        <f t="shared" si="8"/>
        <v>56156</v>
      </c>
      <c r="K84" s="3007" t="str">
        <f t="shared" si="9"/>
        <v>12层</v>
      </c>
      <c r="L84" s="3007" t="str">
        <f t="shared" si="6"/>
        <v>4层</v>
      </c>
      <c r="N84" s="3002">
        <f t="shared" ca="1" si="7"/>
        <v>494235</v>
      </c>
    </row>
    <row r="85" spans="1:14" ht="24">
      <c r="A85" s="3007">
        <v>82</v>
      </c>
      <c r="B85" s="3007" t="s">
        <v>3141</v>
      </c>
      <c r="C85" s="3004" t="s">
        <v>3431</v>
      </c>
      <c r="D85" s="3007" t="s">
        <v>3610</v>
      </c>
      <c r="E85" s="3008" t="s">
        <v>3611</v>
      </c>
      <c r="F85" s="3011">
        <v>52.29</v>
      </c>
      <c r="G85" s="3011">
        <v>5.84</v>
      </c>
      <c r="H85" s="3004" t="s">
        <v>1373</v>
      </c>
      <c r="I85" s="3007" t="s">
        <v>3443</v>
      </c>
      <c r="J85" s="3010">
        <f t="shared" si="8"/>
        <v>56156</v>
      </c>
      <c r="K85" s="3007" t="str">
        <f t="shared" si="9"/>
        <v>12层</v>
      </c>
      <c r="L85" s="3007" t="str">
        <f t="shared" si="6"/>
        <v>4层</v>
      </c>
      <c r="N85" s="3002">
        <f t="shared" ca="1" si="7"/>
        <v>488075</v>
      </c>
    </row>
    <row r="86" spans="1:14" ht="24">
      <c r="A86" s="3007">
        <v>83</v>
      </c>
      <c r="B86" s="3007" t="s">
        <v>3142</v>
      </c>
      <c r="C86" s="3004" t="s">
        <v>3431</v>
      </c>
      <c r="D86" s="3007" t="s">
        <v>3612</v>
      </c>
      <c r="E86" s="3008" t="s">
        <v>3613</v>
      </c>
      <c r="F86" s="3011">
        <v>64.63</v>
      </c>
      <c r="G86" s="3011">
        <v>7.21</v>
      </c>
      <c r="H86" s="3004" t="s">
        <v>1373</v>
      </c>
      <c r="I86" s="3007" t="s">
        <v>3443</v>
      </c>
      <c r="J86" s="3010">
        <f t="shared" si="8"/>
        <v>56156</v>
      </c>
      <c r="K86" s="3007" t="str">
        <f t="shared" si="9"/>
        <v>12层</v>
      </c>
      <c r="L86" s="3007" t="str">
        <f t="shared" si="6"/>
        <v>4层</v>
      </c>
      <c r="N86" s="3002">
        <f t="shared" ca="1" si="7"/>
        <v>603256</v>
      </c>
    </row>
    <row r="87" spans="1:14" ht="24">
      <c r="A87" s="3007">
        <v>84</v>
      </c>
      <c r="B87" s="3007" t="s">
        <v>3143</v>
      </c>
      <c r="C87" s="3004" t="s">
        <v>3431</v>
      </c>
      <c r="D87" s="3007" t="s">
        <v>3614</v>
      </c>
      <c r="E87" s="3008" t="s">
        <v>3615</v>
      </c>
      <c r="F87" s="3011">
        <v>51.1</v>
      </c>
      <c r="G87" s="3011">
        <v>5.7</v>
      </c>
      <c r="H87" s="3004" t="s">
        <v>1373</v>
      </c>
      <c r="I87" s="3007" t="s">
        <v>3443</v>
      </c>
      <c r="J87" s="3010">
        <f t="shared" si="8"/>
        <v>56156</v>
      </c>
      <c r="K87" s="3007" t="str">
        <f t="shared" si="9"/>
        <v>12层</v>
      </c>
      <c r="L87" s="3007" t="s">
        <v>3616</v>
      </c>
      <c r="N87" s="3002">
        <f t="shared" ca="1" si="7"/>
        <v>476967</v>
      </c>
    </row>
    <row r="88" spans="1:14" ht="24">
      <c r="A88" s="3007">
        <v>85</v>
      </c>
      <c r="B88" s="3007" t="s">
        <v>3144</v>
      </c>
      <c r="C88" s="3004" t="s">
        <v>3431</v>
      </c>
      <c r="D88" s="3007" t="s">
        <v>3617</v>
      </c>
      <c r="E88" s="3008" t="s">
        <v>3618</v>
      </c>
      <c r="F88" s="3011">
        <v>52.87</v>
      </c>
      <c r="G88" s="3011">
        <v>5.9</v>
      </c>
      <c r="H88" s="3004" t="s">
        <v>1373</v>
      </c>
      <c r="I88" s="3007" t="s">
        <v>3443</v>
      </c>
      <c r="J88" s="3010">
        <f t="shared" si="8"/>
        <v>56156</v>
      </c>
      <c r="K88" s="3007" t="str">
        <f t="shared" si="9"/>
        <v>12层</v>
      </c>
      <c r="L88" s="3007" t="str">
        <f>$L$87</f>
        <v>5层</v>
      </c>
      <c r="N88" s="3002">
        <f t="shared" ca="1" si="7"/>
        <v>493489</v>
      </c>
    </row>
    <row r="89" spans="1:14" ht="24">
      <c r="A89" s="3007">
        <v>86</v>
      </c>
      <c r="B89" s="3007" t="s">
        <v>3145</v>
      </c>
      <c r="C89" s="3004" t="s">
        <v>3527</v>
      </c>
      <c r="D89" s="3007" t="s">
        <v>3619</v>
      </c>
      <c r="E89" s="3008" t="s">
        <v>3620</v>
      </c>
      <c r="F89" s="3011">
        <v>52.86</v>
      </c>
      <c r="G89" s="3011">
        <v>5.9</v>
      </c>
      <c r="H89" s="3004" t="s">
        <v>1373</v>
      </c>
      <c r="I89" s="3007" t="s">
        <v>3530</v>
      </c>
      <c r="J89" s="3010">
        <f t="shared" si="8"/>
        <v>56156</v>
      </c>
      <c r="K89" s="3007" t="str">
        <f t="shared" si="9"/>
        <v>12层</v>
      </c>
      <c r="L89" s="3007" t="str">
        <f t="shared" ref="L89:L106" si="10">$L$87</f>
        <v>5层</v>
      </c>
      <c r="N89" s="3002">
        <f t="shared" ca="1" si="7"/>
        <v>493395</v>
      </c>
    </row>
    <row r="90" spans="1:14" ht="24">
      <c r="A90" s="3007">
        <v>87</v>
      </c>
      <c r="B90" s="3007" t="s">
        <v>3146</v>
      </c>
      <c r="C90" s="3004" t="s">
        <v>3621</v>
      </c>
      <c r="D90" s="3007" t="s">
        <v>3622</v>
      </c>
      <c r="E90" s="3008" t="s">
        <v>3623</v>
      </c>
      <c r="F90" s="3011">
        <v>52.87</v>
      </c>
      <c r="G90" s="3011">
        <v>5.9</v>
      </c>
      <c r="H90" s="3004" t="s">
        <v>1373</v>
      </c>
      <c r="I90" s="3007" t="s">
        <v>3530</v>
      </c>
      <c r="J90" s="3010">
        <f t="shared" si="8"/>
        <v>56156</v>
      </c>
      <c r="K90" s="3007" t="str">
        <f t="shared" si="9"/>
        <v>12层</v>
      </c>
      <c r="L90" s="3007" t="str">
        <f t="shared" si="10"/>
        <v>5层</v>
      </c>
      <c r="N90" s="3002">
        <f t="shared" ca="1" si="7"/>
        <v>493489</v>
      </c>
    </row>
    <row r="91" spans="1:14" ht="24">
      <c r="A91" s="3007">
        <v>88</v>
      </c>
      <c r="B91" s="3007" t="s">
        <v>3147</v>
      </c>
      <c r="C91" s="3004" t="s">
        <v>3527</v>
      </c>
      <c r="D91" s="3007" t="s">
        <v>3624</v>
      </c>
      <c r="E91" s="3008" t="s">
        <v>3625</v>
      </c>
      <c r="F91" s="3011">
        <v>71.400000000000006</v>
      </c>
      <c r="G91" s="3011">
        <v>7.97</v>
      </c>
      <c r="H91" s="3004" t="s">
        <v>1373</v>
      </c>
      <c r="I91" s="3007" t="s">
        <v>3530</v>
      </c>
      <c r="J91" s="3010">
        <f t="shared" si="8"/>
        <v>56156</v>
      </c>
      <c r="K91" s="3007" t="str">
        <f t="shared" si="9"/>
        <v>12层</v>
      </c>
      <c r="L91" s="3007" t="str">
        <f t="shared" si="10"/>
        <v>5层</v>
      </c>
      <c r="N91" s="3002">
        <f t="shared" ca="1" si="7"/>
        <v>666448</v>
      </c>
    </row>
    <row r="92" spans="1:14" ht="24">
      <c r="A92" s="3007">
        <v>89</v>
      </c>
      <c r="B92" s="3007" t="s">
        <v>3148</v>
      </c>
      <c r="C92" s="3004" t="s">
        <v>3527</v>
      </c>
      <c r="D92" s="3007" t="s">
        <v>3626</v>
      </c>
      <c r="E92" s="3008" t="s">
        <v>3627</v>
      </c>
      <c r="F92" s="3011">
        <v>71.819999999999993</v>
      </c>
      <c r="G92" s="3011">
        <v>8.01</v>
      </c>
      <c r="H92" s="3004" t="s">
        <v>1373</v>
      </c>
      <c r="I92" s="3007" t="s">
        <v>3530</v>
      </c>
      <c r="J92" s="3010">
        <f t="shared" si="8"/>
        <v>56156</v>
      </c>
      <c r="K92" s="3007" t="str">
        <f t="shared" si="9"/>
        <v>12层</v>
      </c>
      <c r="L92" s="3007" t="str">
        <f t="shared" si="10"/>
        <v>5层</v>
      </c>
      <c r="N92" s="3002">
        <f t="shared" ca="1" si="7"/>
        <v>670368</v>
      </c>
    </row>
    <row r="93" spans="1:14" ht="24">
      <c r="A93" s="3007">
        <v>90</v>
      </c>
      <c r="B93" s="3007" t="s">
        <v>3149</v>
      </c>
      <c r="C93" s="3004" t="s">
        <v>3527</v>
      </c>
      <c r="D93" s="3007" t="s">
        <v>3628</v>
      </c>
      <c r="E93" s="3008" t="s">
        <v>3629</v>
      </c>
      <c r="F93" s="3011">
        <v>52.47</v>
      </c>
      <c r="G93" s="3011">
        <v>5.86</v>
      </c>
      <c r="H93" s="3004" t="s">
        <v>1373</v>
      </c>
      <c r="I93" s="3007" t="s">
        <v>3530</v>
      </c>
      <c r="J93" s="3010">
        <f t="shared" si="8"/>
        <v>56156</v>
      </c>
      <c r="K93" s="3007" t="str">
        <f t="shared" si="9"/>
        <v>12层</v>
      </c>
      <c r="L93" s="3007" t="str">
        <f t="shared" si="10"/>
        <v>5层</v>
      </c>
      <c r="N93" s="3002">
        <f t="shared" ca="1" si="7"/>
        <v>489755</v>
      </c>
    </row>
    <row r="94" spans="1:14" ht="24">
      <c r="A94" s="3007">
        <v>91</v>
      </c>
      <c r="B94" s="3007" t="s">
        <v>3150</v>
      </c>
      <c r="C94" s="3004" t="s">
        <v>3527</v>
      </c>
      <c r="D94" s="3007" t="s">
        <v>3630</v>
      </c>
      <c r="E94" s="3008" t="s">
        <v>3631</v>
      </c>
      <c r="F94" s="3011">
        <v>53.33</v>
      </c>
      <c r="G94" s="3011">
        <v>5.95</v>
      </c>
      <c r="H94" s="3004" t="s">
        <v>1373</v>
      </c>
      <c r="I94" s="3007" t="s">
        <v>3530</v>
      </c>
      <c r="J94" s="3010">
        <f t="shared" si="8"/>
        <v>56156</v>
      </c>
      <c r="K94" s="3007" t="str">
        <f t="shared" si="9"/>
        <v>12层</v>
      </c>
      <c r="L94" s="3007" t="str">
        <f t="shared" si="10"/>
        <v>5层</v>
      </c>
      <c r="N94" s="3002">
        <f t="shared" ca="1" si="7"/>
        <v>497782</v>
      </c>
    </row>
    <row r="95" spans="1:14" ht="24">
      <c r="A95" s="3007">
        <v>92</v>
      </c>
      <c r="B95" s="3007" t="s">
        <v>3151</v>
      </c>
      <c r="C95" s="3004" t="s">
        <v>3527</v>
      </c>
      <c r="D95" s="3007" t="s">
        <v>3632</v>
      </c>
      <c r="E95" s="3008" t="s">
        <v>3633</v>
      </c>
      <c r="F95" s="3011">
        <v>61.47</v>
      </c>
      <c r="G95" s="3011">
        <v>6.86</v>
      </c>
      <c r="H95" s="3004" t="s">
        <v>1373</v>
      </c>
      <c r="I95" s="3007" t="s">
        <v>3530</v>
      </c>
      <c r="J95" s="3010">
        <f t="shared" si="8"/>
        <v>56156</v>
      </c>
      <c r="K95" s="3007" t="str">
        <f t="shared" si="9"/>
        <v>12层</v>
      </c>
      <c r="L95" s="3007" t="str">
        <f t="shared" si="10"/>
        <v>5层</v>
      </c>
      <c r="N95" s="3002">
        <f t="shared" ca="1" si="7"/>
        <v>573761</v>
      </c>
    </row>
    <row r="96" spans="1:14" ht="24">
      <c r="A96" s="3007">
        <v>93</v>
      </c>
      <c r="B96" s="3007" t="s">
        <v>3152</v>
      </c>
      <c r="C96" s="3004" t="s">
        <v>3527</v>
      </c>
      <c r="D96" s="3007" t="s">
        <v>3634</v>
      </c>
      <c r="E96" s="3008" t="s">
        <v>3635</v>
      </c>
      <c r="F96" s="3011">
        <v>66.06</v>
      </c>
      <c r="G96" s="3011">
        <v>7.37</v>
      </c>
      <c r="H96" s="3004" t="s">
        <v>1373</v>
      </c>
      <c r="I96" s="3007" t="s">
        <v>3530</v>
      </c>
      <c r="J96" s="3010">
        <f t="shared" si="8"/>
        <v>56156</v>
      </c>
      <c r="K96" s="3007" t="str">
        <f t="shared" si="9"/>
        <v>12层</v>
      </c>
      <c r="L96" s="3007" t="str">
        <f t="shared" si="10"/>
        <v>5层</v>
      </c>
      <c r="N96" s="3002">
        <f t="shared" ca="1" si="7"/>
        <v>616604</v>
      </c>
    </row>
    <row r="97" spans="1:14" ht="24">
      <c r="A97" s="3007">
        <v>94</v>
      </c>
      <c r="B97" s="3007" t="s">
        <v>3153</v>
      </c>
      <c r="C97" s="3004" t="s">
        <v>3527</v>
      </c>
      <c r="D97" s="3007" t="s">
        <v>3636</v>
      </c>
      <c r="E97" s="3008" t="s">
        <v>3637</v>
      </c>
      <c r="F97" s="3011">
        <v>60.87</v>
      </c>
      <c r="G97" s="3011">
        <v>6.79</v>
      </c>
      <c r="H97" s="3004" t="s">
        <v>1373</v>
      </c>
      <c r="I97" s="3007" t="s">
        <v>3563</v>
      </c>
      <c r="J97" s="3010">
        <f t="shared" si="8"/>
        <v>56156</v>
      </c>
      <c r="K97" s="3007" t="str">
        <f t="shared" si="9"/>
        <v>12层</v>
      </c>
      <c r="L97" s="3007" t="str">
        <f t="shared" si="10"/>
        <v>5层</v>
      </c>
      <c r="N97" s="3002">
        <f t="shared" ca="1" si="7"/>
        <v>568161</v>
      </c>
    </row>
    <row r="98" spans="1:14" ht="24">
      <c r="A98" s="3007">
        <v>95</v>
      </c>
      <c r="B98" s="3007" t="s">
        <v>3154</v>
      </c>
      <c r="C98" s="3004" t="s">
        <v>3564</v>
      </c>
      <c r="D98" s="3007" t="s">
        <v>3638</v>
      </c>
      <c r="E98" s="3008" t="s">
        <v>3639</v>
      </c>
      <c r="F98" s="3011">
        <v>53.25</v>
      </c>
      <c r="G98" s="3011">
        <v>5.94</v>
      </c>
      <c r="H98" s="3004" t="s">
        <v>1373</v>
      </c>
      <c r="I98" s="3007" t="s">
        <v>3563</v>
      </c>
      <c r="J98" s="3010">
        <f t="shared" si="8"/>
        <v>56156</v>
      </c>
      <c r="K98" s="3007" t="str">
        <f t="shared" si="9"/>
        <v>12层</v>
      </c>
      <c r="L98" s="3007" t="str">
        <f t="shared" si="10"/>
        <v>5层</v>
      </c>
      <c r="N98" s="3002">
        <f t="shared" ca="1" si="7"/>
        <v>497036</v>
      </c>
    </row>
    <row r="99" spans="1:14" ht="24">
      <c r="A99" s="3007">
        <v>96</v>
      </c>
      <c r="B99" s="3007" t="s">
        <v>3155</v>
      </c>
      <c r="C99" s="3004" t="s">
        <v>3564</v>
      </c>
      <c r="D99" s="3007" t="s">
        <v>3640</v>
      </c>
      <c r="E99" s="3008" t="s">
        <v>3641</v>
      </c>
      <c r="F99" s="3011">
        <v>53.19</v>
      </c>
      <c r="G99" s="3011">
        <v>5.94</v>
      </c>
      <c r="H99" s="3004" t="s">
        <v>1373</v>
      </c>
      <c r="I99" s="3007" t="s">
        <v>3563</v>
      </c>
      <c r="J99" s="3010">
        <f t="shared" si="8"/>
        <v>56156</v>
      </c>
      <c r="K99" s="3007" t="str">
        <f t="shared" si="9"/>
        <v>12层</v>
      </c>
      <c r="L99" s="3007" t="str">
        <f t="shared" si="10"/>
        <v>5层</v>
      </c>
      <c r="N99" s="3002">
        <f t="shared" ca="1" si="7"/>
        <v>496475</v>
      </c>
    </row>
    <row r="100" spans="1:14" ht="24">
      <c r="A100" s="3007">
        <v>97</v>
      </c>
      <c r="B100" s="3007" t="s">
        <v>3156</v>
      </c>
      <c r="C100" s="3004" t="s">
        <v>3564</v>
      </c>
      <c r="D100" s="3007" t="s">
        <v>3642</v>
      </c>
      <c r="E100" s="3008" t="s">
        <v>3643</v>
      </c>
      <c r="F100" s="3011">
        <v>53.19</v>
      </c>
      <c r="G100" s="3011">
        <v>5.94</v>
      </c>
      <c r="H100" s="3004" t="s">
        <v>1373</v>
      </c>
      <c r="I100" s="3007" t="s">
        <v>3563</v>
      </c>
      <c r="J100" s="3010">
        <f t="shared" si="8"/>
        <v>56156</v>
      </c>
      <c r="K100" s="3007" t="str">
        <f t="shared" si="9"/>
        <v>12层</v>
      </c>
      <c r="L100" s="3007" t="str">
        <f t="shared" si="10"/>
        <v>5层</v>
      </c>
      <c r="N100" s="3002">
        <f t="shared" ca="1" si="7"/>
        <v>496475</v>
      </c>
    </row>
    <row r="101" spans="1:14" ht="24">
      <c r="A101" s="3007">
        <v>98</v>
      </c>
      <c r="B101" s="3007" t="s">
        <v>3157</v>
      </c>
      <c r="C101" s="3004" t="s">
        <v>3564</v>
      </c>
      <c r="D101" s="3007" t="s">
        <v>3644</v>
      </c>
      <c r="E101" s="3008" t="s">
        <v>3645</v>
      </c>
      <c r="F101" s="3011">
        <v>53.17</v>
      </c>
      <c r="G101" s="3011">
        <v>5.93</v>
      </c>
      <c r="H101" s="3004" t="s">
        <v>1373</v>
      </c>
      <c r="I101" s="3007" t="s">
        <v>3563</v>
      </c>
      <c r="J101" s="3010">
        <f t="shared" si="8"/>
        <v>56156</v>
      </c>
      <c r="K101" s="3007" t="str">
        <f t="shared" si="9"/>
        <v>12层</v>
      </c>
      <c r="L101" s="3007" t="str">
        <f t="shared" si="10"/>
        <v>5层</v>
      </c>
      <c r="N101" s="3002">
        <f t="shared" ca="1" si="7"/>
        <v>496289</v>
      </c>
    </row>
    <row r="102" spans="1:14" ht="24">
      <c r="A102" s="3007">
        <v>99</v>
      </c>
      <c r="B102" s="3007" t="s">
        <v>3158</v>
      </c>
      <c r="C102" s="3004" t="s">
        <v>3564</v>
      </c>
      <c r="D102" s="3007" t="s">
        <v>3646</v>
      </c>
      <c r="E102" s="3008" t="s">
        <v>3647</v>
      </c>
      <c r="F102" s="3011">
        <v>73.2</v>
      </c>
      <c r="G102" s="3011">
        <v>8.17</v>
      </c>
      <c r="H102" s="3004" t="s">
        <v>1373</v>
      </c>
      <c r="I102" s="3007" t="s">
        <v>3563</v>
      </c>
      <c r="J102" s="3010">
        <f t="shared" si="8"/>
        <v>56156</v>
      </c>
      <c r="K102" s="3007" t="str">
        <f t="shared" si="9"/>
        <v>12层</v>
      </c>
      <c r="L102" s="3007" t="str">
        <f t="shared" si="10"/>
        <v>5层</v>
      </c>
      <c r="N102" s="3002">
        <f t="shared" ca="1" si="7"/>
        <v>683249</v>
      </c>
    </row>
    <row r="103" spans="1:14" ht="24">
      <c r="A103" s="3007">
        <v>100</v>
      </c>
      <c r="B103" s="3007" t="s">
        <v>3159</v>
      </c>
      <c r="C103" s="3004" t="s">
        <v>3564</v>
      </c>
      <c r="D103" s="3007" t="s">
        <v>3648</v>
      </c>
      <c r="E103" s="3008" t="s">
        <v>3649</v>
      </c>
      <c r="F103" s="3011">
        <v>72.569999999999993</v>
      </c>
      <c r="G103" s="3011">
        <v>8.1</v>
      </c>
      <c r="H103" s="3004" t="s">
        <v>1373</v>
      </c>
      <c r="I103" s="3007" t="s">
        <v>3563</v>
      </c>
      <c r="J103" s="3010">
        <f t="shared" si="8"/>
        <v>56156</v>
      </c>
      <c r="K103" s="3007" t="str">
        <f t="shared" si="9"/>
        <v>12层</v>
      </c>
      <c r="L103" s="3007" t="str">
        <f t="shared" si="10"/>
        <v>5层</v>
      </c>
      <c r="N103" s="3002">
        <f t="shared" ca="1" si="7"/>
        <v>677368</v>
      </c>
    </row>
    <row r="104" spans="1:14" ht="24">
      <c r="A104" s="3007">
        <v>101</v>
      </c>
      <c r="B104" s="3007" t="s">
        <v>3160</v>
      </c>
      <c r="C104" s="3004" t="s">
        <v>3564</v>
      </c>
      <c r="D104" s="3007" t="s">
        <v>3650</v>
      </c>
      <c r="E104" s="3008" t="s">
        <v>3651</v>
      </c>
      <c r="F104" s="3011">
        <v>53.17</v>
      </c>
      <c r="G104" s="3011">
        <v>5.93</v>
      </c>
      <c r="H104" s="3004" t="s">
        <v>1373</v>
      </c>
      <c r="I104" s="3007" t="s">
        <v>3563</v>
      </c>
      <c r="J104" s="3010">
        <f t="shared" si="8"/>
        <v>56156</v>
      </c>
      <c r="K104" s="3007" t="str">
        <f t="shared" si="9"/>
        <v>12层</v>
      </c>
      <c r="L104" s="3007" t="str">
        <f t="shared" si="10"/>
        <v>5层</v>
      </c>
      <c r="N104" s="3002">
        <f t="shared" ca="1" si="7"/>
        <v>496289</v>
      </c>
    </row>
    <row r="105" spans="1:14" ht="24">
      <c r="A105" s="3007">
        <v>102</v>
      </c>
      <c r="B105" s="3007" t="s">
        <v>3161</v>
      </c>
      <c r="C105" s="3004" t="s">
        <v>3564</v>
      </c>
      <c r="D105" s="3007" t="s">
        <v>3652</v>
      </c>
      <c r="E105" s="3008" t="s">
        <v>3653</v>
      </c>
      <c r="F105" s="3011">
        <v>53.19</v>
      </c>
      <c r="G105" s="3011">
        <v>5.94</v>
      </c>
      <c r="H105" s="3004" t="s">
        <v>1373</v>
      </c>
      <c r="I105" s="3007" t="s">
        <v>3563</v>
      </c>
      <c r="J105" s="3010">
        <f t="shared" si="8"/>
        <v>56156</v>
      </c>
      <c r="K105" s="3007" t="str">
        <f t="shared" si="9"/>
        <v>12层</v>
      </c>
      <c r="L105" s="3007" t="str">
        <f t="shared" si="10"/>
        <v>5层</v>
      </c>
      <c r="N105" s="3002">
        <f t="shared" ca="1" si="7"/>
        <v>496475</v>
      </c>
    </row>
    <row r="106" spans="1:14" ht="24">
      <c r="A106" s="3007">
        <v>103</v>
      </c>
      <c r="B106" s="3007" t="s">
        <v>3162</v>
      </c>
      <c r="C106" s="3004" t="s">
        <v>3564</v>
      </c>
      <c r="D106" s="3007" t="s">
        <v>3654</v>
      </c>
      <c r="E106" s="3008" t="s">
        <v>3655</v>
      </c>
      <c r="F106" s="3011">
        <v>52.53</v>
      </c>
      <c r="G106" s="3011">
        <v>5.86</v>
      </c>
      <c r="H106" s="3004" t="s">
        <v>1373</v>
      </c>
      <c r="I106" s="3007" t="s">
        <v>3563</v>
      </c>
      <c r="J106" s="3010">
        <f t="shared" si="8"/>
        <v>56156</v>
      </c>
      <c r="K106" s="3007" t="str">
        <f t="shared" si="9"/>
        <v>12层</v>
      </c>
      <c r="L106" s="3007" t="str">
        <f t="shared" si="10"/>
        <v>5层</v>
      </c>
      <c r="N106" s="3002">
        <f t="shared" ca="1" si="7"/>
        <v>490315</v>
      </c>
    </row>
    <row r="107" spans="1:14" ht="24">
      <c r="A107" s="3007">
        <v>104</v>
      </c>
      <c r="B107" s="3007" t="s">
        <v>3163</v>
      </c>
      <c r="C107" s="3004" t="s">
        <v>3564</v>
      </c>
      <c r="D107" s="3007" t="s">
        <v>3656</v>
      </c>
      <c r="E107" s="3008" t="s">
        <v>3657</v>
      </c>
      <c r="F107" s="3011">
        <v>64.930000000000007</v>
      </c>
      <c r="G107" s="3011">
        <v>7.25</v>
      </c>
      <c r="H107" s="3004" t="s">
        <v>1373</v>
      </c>
      <c r="I107" s="3007" t="s">
        <v>3563</v>
      </c>
      <c r="J107" s="3010">
        <f t="shared" si="8"/>
        <v>56156</v>
      </c>
      <c r="K107" s="3007" t="str">
        <f t="shared" si="9"/>
        <v>12层</v>
      </c>
      <c r="L107" s="3007" t="str">
        <f>$L$87</f>
        <v>5层</v>
      </c>
      <c r="N107" s="3002">
        <f t="shared" ca="1" si="7"/>
        <v>606057</v>
      </c>
    </row>
    <row r="108" spans="1:14" ht="24">
      <c r="A108" s="3007">
        <v>105</v>
      </c>
      <c r="B108" s="3007" t="s">
        <v>3164</v>
      </c>
      <c r="C108" s="3004" t="s">
        <v>3527</v>
      </c>
      <c r="D108" s="3007" t="s">
        <v>3658</v>
      </c>
      <c r="E108" s="3008" t="s">
        <v>3659</v>
      </c>
      <c r="F108" s="3011">
        <v>51.1</v>
      </c>
      <c r="G108" s="3011">
        <v>5.7</v>
      </c>
      <c r="H108" s="3004" t="s">
        <v>1373</v>
      </c>
      <c r="I108" s="3007" t="s">
        <v>3530</v>
      </c>
      <c r="J108" s="3010">
        <f t="shared" si="8"/>
        <v>56156</v>
      </c>
      <c r="K108" s="3007" t="str">
        <f t="shared" si="9"/>
        <v>12层</v>
      </c>
      <c r="L108" s="3007" t="s">
        <v>3660</v>
      </c>
      <c r="N108" s="3002">
        <f t="shared" ca="1" si="7"/>
        <v>476967</v>
      </c>
    </row>
    <row r="109" spans="1:14" ht="24">
      <c r="A109" s="3007">
        <v>106</v>
      </c>
      <c r="B109" s="3007" t="s">
        <v>3165</v>
      </c>
      <c r="C109" s="3004" t="s">
        <v>3527</v>
      </c>
      <c r="D109" s="3007" t="s">
        <v>3661</v>
      </c>
      <c r="E109" s="3008" t="s">
        <v>3662</v>
      </c>
      <c r="F109" s="3011">
        <v>52.87</v>
      </c>
      <c r="G109" s="3011">
        <v>5.9</v>
      </c>
      <c r="H109" s="3004" t="s">
        <v>1373</v>
      </c>
      <c r="I109" s="3007" t="s">
        <v>3530</v>
      </c>
      <c r="J109" s="3010">
        <f t="shared" si="8"/>
        <v>56156</v>
      </c>
      <c r="K109" s="3007" t="str">
        <f t="shared" si="9"/>
        <v>12层</v>
      </c>
      <c r="L109" s="3007" t="str">
        <f>$L$108</f>
        <v>6层</v>
      </c>
      <c r="N109" s="3002">
        <f t="shared" ca="1" si="7"/>
        <v>493489</v>
      </c>
    </row>
    <row r="110" spans="1:14" ht="24">
      <c r="A110" s="3007">
        <v>107</v>
      </c>
      <c r="B110" s="3007" t="s">
        <v>3166</v>
      </c>
      <c r="C110" s="3004" t="s">
        <v>3621</v>
      </c>
      <c r="D110" s="3007" t="s">
        <v>3663</v>
      </c>
      <c r="E110" s="3008" t="s">
        <v>3664</v>
      </c>
      <c r="F110" s="3011">
        <v>52.86</v>
      </c>
      <c r="G110" s="3011">
        <v>5.9</v>
      </c>
      <c r="H110" s="3004" t="s">
        <v>1373</v>
      </c>
      <c r="I110" s="3007" t="s">
        <v>3665</v>
      </c>
      <c r="J110" s="3010">
        <f t="shared" si="8"/>
        <v>56156</v>
      </c>
      <c r="K110" s="3007" t="str">
        <f t="shared" si="9"/>
        <v>12层</v>
      </c>
      <c r="L110" s="3007" t="str">
        <f t="shared" ref="L110:L128" si="11">$L$108</f>
        <v>6层</v>
      </c>
      <c r="N110" s="3002">
        <f t="shared" ca="1" si="7"/>
        <v>493395</v>
      </c>
    </row>
    <row r="111" spans="1:14" ht="24">
      <c r="A111" s="3007">
        <v>108</v>
      </c>
      <c r="B111" s="3007" t="s">
        <v>3167</v>
      </c>
      <c r="C111" s="3004" t="s">
        <v>3527</v>
      </c>
      <c r="D111" s="3007" t="s">
        <v>3666</v>
      </c>
      <c r="E111" s="3008" t="s">
        <v>3667</v>
      </c>
      <c r="F111" s="3011">
        <v>52.87</v>
      </c>
      <c r="G111" s="3011">
        <v>5.9</v>
      </c>
      <c r="H111" s="3004" t="s">
        <v>1373</v>
      </c>
      <c r="I111" s="3007" t="s">
        <v>3530</v>
      </c>
      <c r="J111" s="3010">
        <f t="shared" si="8"/>
        <v>56156</v>
      </c>
      <c r="K111" s="3007" t="str">
        <f t="shared" si="9"/>
        <v>12层</v>
      </c>
      <c r="L111" s="3007" t="str">
        <f t="shared" si="11"/>
        <v>6层</v>
      </c>
      <c r="N111" s="3002">
        <f t="shared" ca="1" si="7"/>
        <v>493489</v>
      </c>
    </row>
    <row r="112" spans="1:14" ht="24">
      <c r="A112" s="3007">
        <v>109</v>
      </c>
      <c r="B112" s="3007" t="s">
        <v>3168</v>
      </c>
      <c r="C112" s="3004" t="s">
        <v>3527</v>
      </c>
      <c r="D112" s="3007" t="s">
        <v>3668</v>
      </c>
      <c r="E112" s="3008" t="s">
        <v>3669</v>
      </c>
      <c r="F112" s="3011">
        <v>71.400000000000006</v>
      </c>
      <c r="G112" s="3011">
        <v>7.97</v>
      </c>
      <c r="H112" s="3004" t="s">
        <v>1373</v>
      </c>
      <c r="I112" s="3007" t="s">
        <v>3665</v>
      </c>
      <c r="J112" s="3010">
        <f t="shared" si="8"/>
        <v>56156</v>
      </c>
      <c r="K112" s="3007" t="str">
        <f t="shared" si="9"/>
        <v>12层</v>
      </c>
      <c r="L112" s="3007" t="str">
        <f t="shared" si="11"/>
        <v>6层</v>
      </c>
      <c r="N112" s="3002">
        <f t="shared" ca="1" si="7"/>
        <v>666448</v>
      </c>
    </row>
    <row r="113" spans="1:14" ht="24">
      <c r="A113" s="3007">
        <v>110</v>
      </c>
      <c r="B113" s="3007" t="s">
        <v>3169</v>
      </c>
      <c r="C113" s="3004" t="s">
        <v>3621</v>
      </c>
      <c r="D113" s="3007" t="s">
        <v>3670</v>
      </c>
      <c r="E113" s="3008" t="s">
        <v>3671</v>
      </c>
      <c r="F113" s="3011">
        <v>71.819999999999993</v>
      </c>
      <c r="G113" s="3011">
        <v>8.01</v>
      </c>
      <c r="H113" s="3004" t="s">
        <v>1373</v>
      </c>
      <c r="I113" s="3007" t="s">
        <v>3665</v>
      </c>
      <c r="J113" s="3010">
        <f t="shared" si="8"/>
        <v>56156</v>
      </c>
      <c r="K113" s="3007" t="str">
        <f t="shared" si="9"/>
        <v>12层</v>
      </c>
      <c r="L113" s="3007" t="str">
        <f t="shared" si="11"/>
        <v>6层</v>
      </c>
      <c r="N113" s="3002">
        <f t="shared" ca="1" si="7"/>
        <v>670368</v>
      </c>
    </row>
    <row r="114" spans="1:14" ht="24">
      <c r="A114" s="3007">
        <v>111</v>
      </c>
      <c r="B114" s="3007" t="s">
        <v>3170</v>
      </c>
      <c r="C114" s="3004" t="s">
        <v>3621</v>
      </c>
      <c r="D114" s="3007" t="s">
        <v>3672</v>
      </c>
      <c r="E114" s="3008" t="s">
        <v>3673</v>
      </c>
      <c r="F114" s="3011">
        <v>52.47</v>
      </c>
      <c r="G114" s="3011">
        <v>5.86</v>
      </c>
      <c r="H114" s="3004" t="s">
        <v>1373</v>
      </c>
      <c r="I114" s="3007" t="s">
        <v>3665</v>
      </c>
      <c r="J114" s="3010">
        <f t="shared" si="8"/>
        <v>56156</v>
      </c>
      <c r="K114" s="3007" t="str">
        <f t="shared" si="9"/>
        <v>12层</v>
      </c>
      <c r="L114" s="3007" t="str">
        <f t="shared" si="11"/>
        <v>6层</v>
      </c>
      <c r="N114" s="3002">
        <f t="shared" ca="1" si="7"/>
        <v>489755</v>
      </c>
    </row>
    <row r="115" spans="1:14" ht="24">
      <c r="A115" s="3007">
        <v>112</v>
      </c>
      <c r="B115" s="3007" t="s">
        <v>3171</v>
      </c>
      <c r="C115" s="3004" t="s">
        <v>3621</v>
      </c>
      <c r="D115" s="3007" t="s">
        <v>3674</v>
      </c>
      <c r="E115" s="3008" t="s">
        <v>3675</v>
      </c>
      <c r="F115" s="3011">
        <v>53.33</v>
      </c>
      <c r="G115" s="3011">
        <v>5.95</v>
      </c>
      <c r="H115" s="3004" t="s">
        <v>1373</v>
      </c>
      <c r="I115" s="3007" t="s">
        <v>3665</v>
      </c>
      <c r="J115" s="3010">
        <f t="shared" si="8"/>
        <v>56156</v>
      </c>
      <c r="K115" s="3007" t="str">
        <f t="shared" si="9"/>
        <v>12层</v>
      </c>
      <c r="L115" s="3007" t="str">
        <f t="shared" si="11"/>
        <v>6层</v>
      </c>
      <c r="N115" s="3002">
        <f t="shared" ca="1" si="7"/>
        <v>497782</v>
      </c>
    </row>
    <row r="116" spans="1:14" ht="24">
      <c r="A116" s="3007">
        <v>113</v>
      </c>
      <c r="B116" s="3007" t="s">
        <v>3172</v>
      </c>
      <c r="C116" s="3004" t="s">
        <v>3621</v>
      </c>
      <c r="D116" s="3007" t="s">
        <v>3676</v>
      </c>
      <c r="E116" s="3008" t="s">
        <v>3677</v>
      </c>
      <c r="F116" s="3011">
        <v>61.47</v>
      </c>
      <c r="G116" s="3011">
        <v>6.86</v>
      </c>
      <c r="H116" s="3004" t="s">
        <v>1373</v>
      </c>
      <c r="I116" s="3007" t="s">
        <v>3665</v>
      </c>
      <c r="J116" s="3010">
        <f t="shared" si="8"/>
        <v>56156</v>
      </c>
      <c r="K116" s="3007" t="str">
        <f t="shared" si="9"/>
        <v>12层</v>
      </c>
      <c r="L116" s="3007" t="str">
        <f t="shared" si="11"/>
        <v>6层</v>
      </c>
      <c r="N116" s="3002">
        <f t="shared" ca="1" si="7"/>
        <v>573761</v>
      </c>
    </row>
    <row r="117" spans="1:14" ht="24">
      <c r="A117" s="3007">
        <v>114</v>
      </c>
      <c r="B117" s="3007" t="s">
        <v>3173</v>
      </c>
      <c r="C117" s="3004" t="s">
        <v>3621</v>
      </c>
      <c r="D117" s="3007" t="s">
        <v>3678</v>
      </c>
      <c r="E117" s="3008" t="s">
        <v>3679</v>
      </c>
      <c r="F117" s="3011">
        <v>66.06</v>
      </c>
      <c r="G117" s="3011">
        <v>7.37</v>
      </c>
      <c r="H117" s="3004" t="s">
        <v>1373</v>
      </c>
      <c r="I117" s="3007" t="s">
        <v>3665</v>
      </c>
      <c r="J117" s="3010">
        <f t="shared" si="8"/>
        <v>56156</v>
      </c>
      <c r="K117" s="3007" t="str">
        <f t="shared" si="9"/>
        <v>12层</v>
      </c>
      <c r="L117" s="3007" t="str">
        <f t="shared" si="11"/>
        <v>6层</v>
      </c>
      <c r="N117" s="3002">
        <f t="shared" ca="1" si="7"/>
        <v>616604</v>
      </c>
    </row>
    <row r="118" spans="1:14" ht="24">
      <c r="A118" s="3007">
        <v>115</v>
      </c>
      <c r="B118" s="3007" t="s">
        <v>3174</v>
      </c>
      <c r="C118" s="3004" t="s">
        <v>3621</v>
      </c>
      <c r="D118" s="3007" t="s">
        <v>3680</v>
      </c>
      <c r="E118" s="3008" t="s">
        <v>3681</v>
      </c>
      <c r="F118" s="3011">
        <v>60.87</v>
      </c>
      <c r="G118" s="3011">
        <v>6.79</v>
      </c>
      <c r="H118" s="3004" t="s">
        <v>1373</v>
      </c>
      <c r="I118" s="3007" t="s">
        <v>3665</v>
      </c>
      <c r="J118" s="3010">
        <f t="shared" si="8"/>
        <v>56156</v>
      </c>
      <c r="K118" s="3007" t="str">
        <f t="shared" si="9"/>
        <v>12层</v>
      </c>
      <c r="L118" s="3007" t="str">
        <f t="shared" si="11"/>
        <v>6层</v>
      </c>
      <c r="N118" s="3002">
        <f t="shared" ca="1" si="7"/>
        <v>568161</v>
      </c>
    </row>
    <row r="119" spans="1:14" ht="24">
      <c r="A119" s="3007">
        <v>116</v>
      </c>
      <c r="B119" s="3007" t="s">
        <v>3175</v>
      </c>
      <c r="C119" s="3004" t="s">
        <v>3621</v>
      </c>
      <c r="D119" s="3007" t="s">
        <v>3682</v>
      </c>
      <c r="E119" s="3008" t="s">
        <v>3683</v>
      </c>
      <c r="F119" s="3011">
        <v>53.25</v>
      </c>
      <c r="G119" s="3011">
        <v>5.94</v>
      </c>
      <c r="H119" s="3004" t="s">
        <v>1373</v>
      </c>
      <c r="I119" s="3007" t="s">
        <v>3665</v>
      </c>
      <c r="J119" s="3010">
        <f t="shared" si="8"/>
        <v>56156</v>
      </c>
      <c r="K119" s="3007" t="str">
        <f t="shared" si="9"/>
        <v>12层</v>
      </c>
      <c r="L119" s="3007" t="str">
        <f t="shared" si="11"/>
        <v>6层</v>
      </c>
      <c r="N119" s="3002">
        <f t="shared" ca="1" si="7"/>
        <v>497036</v>
      </c>
    </row>
    <row r="120" spans="1:14" ht="24">
      <c r="A120" s="3007">
        <v>117</v>
      </c>
      <c r="B120" s="3007" t="s">
        <v>3176</v>
      </c>
      <c r="C120" s="3004" t="s">
        <v>3621</v>
      </c>
      <c r="D120" s="3007" t="s">
        <v>3684</v>
      </c>
      <c r="E120" s="3008" t="s">
        <v>3685</v>
      </c>
      <c r="F120" s="3011">
        <v>53.19</v>
      </c>
      <c r="G120" s="3011">
        <v>5.94</v>
      </c>
      <c r="H120" s="3004" t="s">
        <v>1373</v>
      </c>
      <c r="I120" s="3007" t="s">
        <v>3665</v>
      </c>
      <c r="J120" s="3010">
        <f t="shared" si="8"/>
        <v>56156</v>
      </c>
      <c r="K120" s="3007" t="str">
        <f t="shared" si="9"/>
        <v>12层</v>
      </c>
      <c r="L120" s="3007" t="str">
        <f t="shared" si="11"/>
        <v>6层</v>
      </c>
      <c r="N120" s="3002">
        <f t="shared" ca="1" si="7"/>
        <v>496475</v>
      </c>
    </row>
    <row r="121" spans="1:14" ht="24">
      <c r="A121" s="3007">
        <v>118</v>
      </c>
      <c r="B121" s="3007" t="s">
        <v>3177</v>
      </c>
      <c r="C121" s="3004" t="s">
        <v>3621</v>
      </c>
      <c r="D121" s="3007" t="s">
        <v>3686</v>
      </c>
      <c r="E121" s="3008" t="s">
        <v>3687</v>
      </c>
      <c r="F121" s="3011">
        <v>53.19</v>
      </c>
      <c r="G121" s="3011">
        <v>5.94</v>
      </c>
      <c r="H121" s="3004" t="s">
        <v>1373</v>
      </c>
      <c r="I121" s="3007" t="s">
        <v>3440</v>
      </c>
      <c r="J121" s="3010">
        <f t="shared" si="8"/>
        <v>56156</v>
      </c>
      <c r="K121" s="3007" t="str">
        <f t="shared" si="9"/>
        <v>12层</v>
      </c>
      <c r="L121" s="3007" t="str">
        <f t="shared" si="11"/>
        <v>6层</v>
      </c>
      <c r="N121" s="3002">
        <f t="shared" ca="1" si="7"/>
        <v>496475</v>
      </c>
    </row>
    <row r="122" spans="1:14" ht="24">
      <c r="A122" s="3007">
        <v>119</v>
      </c>
      <c r="B122" s="3007" t="s">
        <v>3178</v>
      </c>
      <c r="C122" s="3004" t="s">
        <v>3477</v>
      </c>
      <c r="D122" s="3007" t="s">
        <v>3688</v>
      </c>
      <c r="E122" s="3008" t="s">
        <v>3689</v>
      </c>
      <c r="F122" s="3011">
        <v>53.17</v>
      </c>
      <c r="G122" s="3011">
        <v>5.93</v>
      </c>
      <c r="H122" s="3004" t="s">
        <v>1373</v>
      </c>
      <c r="I122" s="3007" t="s">
        <v>3440</v>
      </c>
      <c r="J122" s="3010">
        <f t="shared" si="8"/>
        <v>56156</v>
      </c>
      <c r="K122" s="3007" t="str">
        <f t="shared" si="9"/>
        <v>12层</v>
      </c>
      <c r="L122" s="3007" t="str">
        <f t="shared" si="11"/>
        <v>6层</v>
      </c>
      <c r="N122" s="3002">
        <f t="shared" ca="1" si="7"/>
        <v>496289</v>
      </c>
    </row>
    <row r="123" spans="1:14" ht="24">
      <c r="A123" s="3007">
        <v>120</v>
      </c>
      <c r="B123" s="3007" t="s">
        <v>3179</v>
      </c>
      <c r="C123" s="3004" t="s">
        <v>3477</v>
      </c>
      <c r="D123" s="3007" t="s">
        <v>3690</v>
      </c>
      <c r="E123" s="3008" t="s">
        <v>3691</v>
      </c>
      <c r="F123" s="3011">
        <v>73.2</v>
      </c>
      <c r="G123" s="3011">
        <v>8.17</v>
      </c>
      <c r="H123" s="3004" t="s">
        <v>1373</v>
      </c>
      <c r="I123" s="3007" t="s">
        <v>3440</v>
      </c>
      <c r="J123" s="3010">
        <f t="shared" si="8"/>
        <v>56156</v>
      </c>
      <c r="K123" s="3007" t="str">
        <f t="shared" si="9"/>
        <v>12层</v>
      </c>
      <c r="L123" s="3007" t="str">
        <f t="shared" si="11"/>
        <v>6层</v>
      </c>
      <c r="N123" s="3002">
        <f t="shared" ca="1" si="7"/>
        <v>683249</v>
      </c>
    </row>
    <row r="124" spans="1:14" ht="24">
      <c r="A124" s="3007">
        <v>121</v>
      </c>
      <c r="B124" s="3007" t="s">
        <v>3180</v>
      </c>
      <c r="C124" s="3004" t="s">
        <v>3477</v>
      </c>
      <c r="D124" s="3007" t="s">
        <v>3692</v>
      </c>
      <c r="E124" s="3008" t="s">
        <v>3693</v>
      </c>
      <c r="F124" s="3011">
        <v>72.569999999999993</v>
      </c>
      <c r="G124" s="3011">
        <v>8.1</v>
      </c>
      <c r="H124" s="3004" t="s">
        <v>1373</v>
      </c>
      <c r="I124" s="3007" t="s">
        <v>3440</v>
      </c>
      <c r="J124" s="3010">
        <f t="shared" si="8"/>
        <v>56156</v>
      </c>
      <c r="K124" s="3007" t="str">
        <f t="shared" si="9"/>
        <v>12层</v>
      </c>
      <c r="L124" s="3007" t="str">
        <f t="shared" si="11"/>
        <v>6层</v>
      </c>
      <c r="N124" s="3002">
        <f t="shared" ca="1" si="7"/>
        <v>677368</v>
      </c>
    </row>
    <row r="125" spans="1:14" ht="24">
      <c r="A125" s="3007">
        <v>122</v>
      </c>
      <c r="B125" s="3007" t="s">
        <v>3181</v>
      </c>
      <c r="C125" s="3004" t="s">
        <v>3477</v>
      </c>
      <c r="D125" s="3007" t="s">
        <v>3694</v>
      </c>
      <c r="E125" s="3008" t="s">
        <v>3695</v>
      </c>
      <c r="F125" s="3011">
        <v>53.17</v>
      </c>
      <c r="G125" s="3011">
        <v>5.93</v>
      </c>
      <c r="H125" s="3004" t="s">
        <v>1373</v>
      </c>
      <c r="I125" s="3007" t="s">
        <v>3440</v>
      </c>
      <c r="J125" s="3010">
        <f t="shared" si="8"/>
        <v>56156</v>
      </c>
      <c r="K125" s="3007" t="str">
        <f t="shared" si="9"/>
        <v>12层</v>
      </c>
      <c r="L125" s="3007" t="str">
        <f t="shared" si="11"/>
        <v>6层</v>
      </c>
      <c r="N125" s="3002">
        <f t="shared" ca="1" si="7"/>
        <v>496289</v>
      </c>
    </row>
    <row r="126" spans="1:14" ht="24">
      <c r="A126" s="3007">
        <v>123</v>
      </c>
      <c r="B126" s="3007" t="s">
        <v>3182</v>
      </c>
      <c r="C126" s="3004" t="s">
        <v>3477</v>
      </c>
      <c r="D126" s="3007" t="s">
        <v>3696</v>
      </c>
      <c r="E126" s="3008" t="s">
        <v>3697</v>
      </c>
      <c r="F126" s="3011">
        <v>53.19</v>
      </c>
      <c r="G126" s="3011">
        <v>5.94</v>
      </c>
      <c r="H126" s="3004" t="s">
        <v>1373</v>
      </c>
      <c r="I126" s="3007" t="s">
        <v>3440</v>
      </c>
      <c r="J126" s="3010">
        <f t="shared" si="8"/>
        <v>56156</v>
      </c>
      <c r="K126" s="3007" t="str">
        <f t="shared" si="9"/>
        <v>12层</v>
      </c>
      <c r="L126" s="3007" t="str">
        <f t="shared" si="11"/>
        <v>6层</v>
      </c>
      <c r="N126" s="3002">
        <f t="shared" ca="1" si="7"/>
        <v>496475</v>
      </c>
    </row>
    <row r="127" spans="1:14" ht="24">
      <c r="A127" s="3007">
        <v>124</v>
      </c>
      <c r="B127" s="3007" t="s">
        <v>3183</v>
      </c>
      <c r="C127" s="3004" t="s">
        <v>3477</v>
      </c>
      <c r="D127" s="3007" t="s">
        <v>3698</v>
      </c>
      <c r="E127" s="3008" t="s">
        <v>3699</v>
      </c>
      <c r="F127" s="3011">
        <v>52.53</v>
      </c>
      <c r="G127" s="3011">
        <v>5.86</v>
      </c>
      <c r="H127" s="3004" t="s">
        <v>1373</v>
      </c>
      <c r="I127" s="3007" t="s">
        <v>3563</v>
      </c>
      <c r="J127" s="3010">
        <f t="shared" si="8"/>
        <v>56156</v>
      </c>
      <c r="K127" s="3007" t="str">
        <f t="shared" si="9"/>
        <v>12层</v>
      </c>
      <c r="L127" s="3007" t="str">
        <f t="shared" si="11"/>
        <v>6层</v>
      </c>
      <c r="N127" s="3002">
        <f t="shared" ca="1" si="7"/>
        <v>490315</v>
      </c>
    </row>
    <row r="128" spans="1:14" ht="24">
      <c r="A128" s="3007">
        <v>125</v>
      </c>
      <c r="B128" s="3007" t="s">
        <v>3184</v>
      </c>
      <c r="C128" s="3004" t="s">
        <v>3564</v>
      </c>
      <c r="D128" s="3007" t="s">
        <v>3700</v>
      </c>
      <c r="E128" s="3008" t="s">
        <v>3701</v>
      </c>
      <c r="F128" s="3011">
        <v>64.930000000000007</v>
      </c>
      <c r="G128" s="3011">
        <v>7.25</v>
      </c>
      <c r="H128" s="3004" t="s">
        <v>1373</v>
      </c>
      <c r="I128" s="3007" t="s">
        <v>3563</v>
      </c>
      <c r="J128" s="3010">
        <f t="shared" si="8"/>
        <v>56156</v>
      </c>
      <c r="K128" s="3007" t="str">
        <f t="shared" si="9"/>
        <v>12层</v>
      </c>
      <c r="L128" s="3007" t="str">
        <f t="shared" si="11"/>
        <v>6层</v>
      </c>
      <c r="N128" s="3002">
        <f t="shared" ca="1" si="7"/>
        <v>606057</v>
      </c>
    </row>
    <row r="129" spans="1:14" ht="24">
      <c r="A129" s="3007">
        <v>126</v>
      </c>
      <c r="B129" s="3007" t="s">
        <v>3185</v>
      </c>
      <c r="C129" s="3004" t="s">
        <v>3564</v>
      </c>
      <c r="D129" s="3007" t="s">
        <v>3702</v>
      </c>
      <c r="E129" s="3008" t="s">
        <v>3703</v>
      </c>
      <c r="F129" s="3011">
        <v>51.1</v>
      </c>
      <c r="G129" s="3011">
        <v>5.7</v>
      </c>
      <c r="H129" s="3004" t="s">
        <v>1373</v>
      </c>
      <c r="I129" s="3007" t="s">
        <v>3563</v>
      </c>
      <c r="J129" s="3010">
        <f t="shared" si="8"/>
        <v>56156</v>
      </c>
      <c r="K129" s="3007" t="str">
        <f t="shared" si="9"/>
        <v>12层</v>
      </c>
      <c r="L129" s="3007" t="s">
        <v>3704</v>
      </c>
      <c r="N129" s="3002">
        <f t="shared" ca="1" si="7"/>
        <v>476967</v>
      </c>
    </row>
    <row r="130" spans="1:14" ht="24">
      <c r="A130" s="3007">
        <v>127</v>
      </c>
      <c r="B130" s="3007" t="s">
        <v>3186</v>
      </c>
      <c r="C130" s="3004" t="s">
        <v>3564</v>
      </c>
      <c r="D130" s="3007" t="s">
        <v>3705</v>
      </c>
      <c r="E130" s="3008" t="s">
        <v>3706</v>
      </c>
      <c r="F130" s="3011">
        <v>52.87</v>
      </c>
      <c r="G130" s="3011">
        <v>5.9</v>
      </c>
      <c r="H130" s="3004" t="s">
        <v>1373</v>
      </c>
      <c r="I130" s="3007" t="s">
        <v>3563</v>
      </c>
      <c r="J130" s="3010">
        <f t="shared" si="8"/>
        <v>56156</v>
      </c>
      <c r="K130" s="3007" t="str">
        <f t="shared" si="9"/>
        <v>12层</v>
      </c>
      <c r="L130" s="3007" t="str">
        <f>$L$129</f>
        <v>7层</v>
      </c>
      <c r="N130" s="3002">
        <f t="shared" ca="1" si="7"/>
        <v>493489</v>
      </c>
    </row>
    <row r="131" spans="1:14" ht="24">
      <c r="A131" s="3007">
        <v>128</v>
      </c>
      <c r="B131" s="3007" t="s">
        <v>3187</v>
      </c>
      <c r="C131" s="3004" t="s">
        <v>3477</v>
      </c>
      <c r="D131" s="3007" t="s">
        <v>3707</v>
      </c>
      <c r="E131" s="3008" t="s">
        <v>3708</v>
      </c>
      <c r="F131" s="3011">
        <v>52.86</v>
      </c>
      <c r="G131" s="3011">
        <v>5.9</v>
      </c>
      <c r="H131" s="3004" t="s">
        <v>1373</v>
      </c>
      <c r="I131" s="3007" t="s">
        <v>3563</v>
      </c>
      <c r="J131" s="3010">
        <f t="shared" si="8"/>
        <v>56156</v>
      </c>
      <c r="K131" s="3007" t="str">
        <f t="shared" si="9"/>
        <v>12层</v>
      </c>
      <c r="L131" s="3007" t="str">
        <f t="shared" ref="L131:L149" si="12">$L$129</f>
        <v>7层</v>
      </c>
      <c r="N131" s="3002">
        <f t="shared" ca="1" si="7"/>
        <v>493395</v>
      </c>
    </row>
    <row r="132" spans="1:14" ht="24">
      <c r="A132" s="3007">
        <v>129</v>
      </c>
      <c r="B132" s="3007" t="s">
        <v>3188</v>
      </c>
      <c r="C132" s="3004" t="s">
        <v>3477</v>
      </c>
      <c r="D132" s="3007" t="s">
        <v>3709</v>
      </c>
      <c r="E132" s="3008" t="s">
        <v>3710</v>
      </c>
      <c r="F132" s="3011">
        <v>52.87</v>
      </c>
      <c r="G132" s="3011">
        <v>5.9</v>
      </c>
      <c r="H132" s="3004" t="s">
        <v>1373</v>
      </c>
      <c r="I132" s="3007" t="s">
        <v>3440</v>
      </c>
      <c r="J132" s="3010">
        <f t="shared" si="8"/>
        <v>56156</v>
      </c>
      <c r="K132" s="3007" t="str">
        <f t="shared" si="9"/>
        <v>12层</v>
      </c>
      <c r="L132" s="3007" t="str">
        <f t="shared" si="12"/>
        <v>7层</v>
      </c>
      <c r="N132" s="3002">
        <f t="shared" ca="1" si="7"/>
        <v>493489</v>
      </c>
    </row>
    <row r="133" spans="1:14" ht="24">
      <c r="A133" s="3007">
        <v>130</v>
      </c>
      <c r="B133" s="3007" t="s">
        <v>3189</v>
      </c>
      <c r="C133" s="3004" t="s">
        <v>3477</v>
      </c>
      <c r="D133" s="3007" t="s">
        <v>3711</v>
      </c>
      <c r="E133" s="3008" t="s">
        <v>3712</v>
      </c>
      <c r="F133" s="3011">
        <v>71.400000000000006</v>
      </c>
      <c r="G133" s="3011">
        <v>7.97</v>
      </c>
      <c r="H133" s="3004" t="s">
        <v>1373</v>
      </c>
      <c r="I133" s="3007" t="s">
        <v>3440</v>
      </c>
      <c r="J133" s="3010">
        <f t="shared" si="8"/>
        <v>56156</v>
      </c>
      <c r="K133" s="3007" t="str">
        <f t="shared" si="9"/>
        <v>12层</v>
      </c>
      <c r="L133" s="3007" t="str">
        <f t="shared" si="12"/>
        <v>7层</v>
      </c>
      <c r="N133" s="3002">
        <f t="shared" ref="N133:N196" ca="1" si="13">ROUND(F133*$M$4,0)</f>
        <v>666448</v>
      </c>
    </row>
    <row r="134" spans="1:14"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4">$J$4</f>
        <v>56156</v>
      </c>
      <c r="K134" s="3007" t="str">
        <f t="shared" ref="K134:K197" si="15">$K$4</f>
        <v>12层</v>
      </c>
      <c r="L134" s="3007" t="str">
        <f t="shared" si="12"/>
        <v>7层</v>
      </c>
      <c r="N134" s="3002">
        <f t="shared" ca="1" si="13"/>
        <v>670368</v>
      </c>
    </row>
    <row r="135" spans="1:14" ht="24">
      <c r="A135" s="3007">
        <v>132</v>
      </c>
      <c r="B135" s="3007" t="s">
        <v>3191</v>
      </c>
      <c r="C135" s="3004" t="s">
        <v>3621</v>
      </c>
      <c r="D135" s="3007" t="s">
        <v>3715</v>
      </c>
      <c r="E135" s="3008" t="s">
        <v>3716</v>
      </c>
      <c r="F135" s="3011">
        <v>52.47</v>
      </c>
      <c r="G135" s="3011">
        <v>5.86</v>
      </c>
      <c r="H135" s="3004" t="s">
        <v>1373</v>
      </c>
      <c r="I135" s="3007" t="s">
        <v>3665</v>
      </c>
      <c r="J135" s="3010">
        <f t="shared" si="14"/>
        <v>56156</v>
      </c>
      <c r="K135" s="3007" t="str">
        <f t="shared" si="15"/>
        <v>12层</v>
      </c>
      <c r="L135" s="3007" t="str">
        <f t="shared" si="12"/>
        <v>7层</v>
      </c>
      <c r="N135" s="3002">
        <f t="shared" ca="1" si="13"/>
        <v>489755</v>
      </c>
    </row>
    <row r="136" spans="1:14" ht="24">
      <c r="A136" s="3007">
        <v>133</v>
      </c>
      <c r="B136" s="3007" t="s">
        <v>3192</v>
      </c>
      <c r="C136" s="3004" t="s">
        <v>3621</v>
      </c>
      <c r="D136" s="3007" t="s">
        <v>3717</v>
      </c>
      <c r="E136" s="3008" t="s">
        <v>3718</v>
      </c>
      <c r="F136" s="3011">
        <v>53.33</v>
      </c>
      <c r="G136" s="3011">
        <v>5.95</v>
      </c>
      <c r="H136" s="3004" t="s">
        <v>1373</v>
      </c>
      <c r="I136" s="3007" t="s">
        <v>3665</v>
      </c>
      <c r="J136" s="3010">
        <f t="shared" si="14"/>
        <v>56156</v>
      </c>
      <c r="K136" s="3007" t="str">
        <f t="shared" si="15"/>
        <v>12层</v>
      </c>
      <c r="L136" s="3007" t="str">
        <f t="shared" si="12"/>
        <v>7层</v>
      </c>
      <c r="N136" s="3002">
        <f t="shared" ca="1" si="13"/>
        <v>497782</v>
      </c>
    </row>
    <row r="137" spans="1:14" ht="24">
      <c r="A137" s="3007">
        <v>134</v>
      </c>
      <c r="B137" s="3007" t="s">
        <v>3193</v>
      </c>
      <c r="C137" s="3004" t="s">
        <v>3621</v>
      </c>
      <c r="D137" s="3007" t="s">
        <v>3719</v>
      </c>
      <c r="E137" s="3008" t="s">
        <v>3720</v>
      </c>
      <c r="F137" s="3011">
        <v>61.47</v>
      </c>
      <c r="G137" s="3011">
        <v>6.86</v>
      </c>
      <c r="H137" s="3004" t="s">
        <v>1373</v>
      </c>
      <c r="I137" s="3007" t="s">
        <v>3665</v>
      </c>
      <c r="J137" s="3010">
        <f t="shared" si="14"/>
        <v>56156</v>
      </c>
      <c r="K137" s="3007" t="str">
        <f t="shared" si="15"/>
        <v>12层</v>
      </c>
      <c r="L137" s="3007" t="str">
        <f t="shared" si="12"/>
        <v>7层</v>
      </c>
      <c r="N137" s="3002">
        <f t="shared" ca="1" si="13"/>
        <v>573761</v>
      </c>
    </row>
    <row r="138" spans="1:14" ht="24">
      <c r="A138" s="3007">
        <v>135</v>
      </c>
      <c r="B138" s="3007" t="s">
        <v>3194</v>
      </c>
      <c r="C138" s="3004" t="s">
        <v>3621</v>
      </c>
      <c r="D138" s="3007" t="s">
        <v>3721</v>
      </c>
      <c r="E138" s="3008" t="s">
        <v>3722</v>
      </c>
      <c r="F138" s="3011">
        <v>66.06</v>
      </c>
      <c r="G138" s="3011">
        <v>7.37</v>
      </c>
      <c r="H138" s="3004" t="s">
        <v>1373</v>
      </c>
      <c r="I138" s="3007" t="s">
        <v>3665</v>
      </c>
      <c r="J138" s="3010">
        <f t="shared" si="14"/>
        <v>56156</v>
      </c>
      <c r="K138" s="3007" t="str">
        <f t="shared" si="15"/>
        <v>12层</v>
      </c>
      <c r="L138" s="3007" t="str">
        <f t="shared" si="12"/>
        <v>7层</v>
      </c>
      <c r="N138" s="3002">
        <f t="shared" ca="1" si="13"/>
        <v>616604</v>
      </c>
    </row>
    <row r="139" spans="1:14" ht="24">
      <c r="A139" s="3007">
        <v>136</v>
      </c>
      <c r="B139" s="3007" t="s">
        <v>3195</v>
      </c>
      <c r="C139" s="3004" t="s">
        <v>3621</v>
      </c>
      <c r="D139" s="3007" t="s">
        <v>3723</v>
      </c>
      <c r="E139" s="3008" t="s">
        <v>3724</v>
      </c>
      <c r="F139" s="3011">
        <v>60.87</v>
      </c>
      <c r="G139" s="3011">
        <v>6.79</v>
      </c>
      <c r="H139" s="3004" t="s">
        <v>1373</v>
      </c>
      <c r="I139" s="3007" t="s">
        <v>3665</v>
      </c>
      <c r="J139" s="3010">
        <f t="shared" si="14"/>
        <v>56156</v>
      </c>
      <c r="K139" s="3007" t="str">
        <f t="shared" si="15"/>
        <v>12层</v>
      </c>
      <c r="L139" s="3007" t="str">
        <f t="shared" si="12"/>
        <v>7层</v>
      </c>
      <c r="N139" s="3002">
        <f t="shared" ca="1" si="13"/>
        <v>568161</v>
      </c>
    </row>
    <row r="140" spans="1:14" ht="24">
      <c r="A140" s="3007">
        <v>137</v>
      </c>
      <c r="B140" s="3007" t="s">
        <v>3196</v>
      </c>
      <c r="C140" s="3004" t="s">
        <v>3621</v>
      </c>
      <c r="D140" s="3007" t="s">
        <v>3725</v>
      </c>
      <c r="E140" s="3008" t="s">
        <v>3726</v>
      </c>
      <c r="F140" s="3011">
        <v>53.25</v>
      </c>
      <c r="G140" s="3011">
        <v>5.94</v>
      </c>
      <c r="H140" s="3004" t="s">
        <v>1373</v>
      </c>
      <c r="I140" s="3007" t="s">
        <v>3440</v>
      </c>
      <c r="J140" s="3010">
        <f t="shared" si="14"/>
        <v>56156</v>
      </c>
      <c r="K140" s="3007" t="str">
        <f t="shared" si="15"/>
        <v>12层</v>
      </c>
      <c r="L140" s="3007" t="str">
        <f t="shared" si="12"/>
        <v>7层</v>
      </c>
      <c r="N140" s="3002">
        <f t="shared" ca="1" si="13"/>
        <v>497036</v>
      </c>
    </row>
    <row r="141" spans="1:14" ht="24">
      <c r="A141" s="3007">
        <v>138</v>
      </c>
      <c r="B141" s="3007" t="s">
        <v>3197</v>
      </c>
      <c r="C141" s="3004" t="s">
        <v>3477</v>
      </c>
      <c r="D141" s="3007" t="s">
        <v>3727</v>
      </c>
      <c r="E141" s="3008" t="s">
        <v>3728</v>
      </c>
      <c r="F141" s="3011">
        <v>53.19</v>
      </c>
      <c r="G141" s="3011">
        <v>5.94</v>
      </c>
      <c r="H141" s="3004" t="s">
        <v>1373</v>
      </c>
      <c r="I141" s="3007" t="s">
        <v>3440</v>
      </c>
      <c r="J141" s="3010">
        <f t="shared" si="14"/>
        <v>56156</v>
      </c>
      <c r="K141" s="3007" t="str">
        <f t="shared" si="15"/>
        <v>12层</v>
      </c>
      <c r="L141" s="3007" t="str">
        <f t="shared" si="12"/>
        <v>7层</v>
      </c>
      <c r="N141" s="3002">
        <f t="shared" ca="1" si="13"/>
        <v>496475</v>
      </c>
    </row>
    <row r="142" spans="1:14" ht="24">
      <c r="A142" s="3007">
        <v>139</v>
      </c>
      <c r="B142" s="3007" t="s">
        <v>3198</v>
      </c>
      <c r="C142" s="3004" t="s">
        <v>3477</v>
      </c>
      <c r="D142" s="3007" t="s">
        <v>3729</v>
      </c>
      <c r="E142" s="3008" t="s">
        <v>3730</v>
      </c>
      <c r="F142" s="3011">
        <v>53.19</v>
      </c>
      <c r="G142" s="3011">
        <v>5.94</v>
      </c>
      <c r="H142" s="3004" t="s">
        <v>1373</v>
      </c>
      <c r="I142" s="3007" t="s">
        <v>3440</v>
      </c>
      <c r="J142" s="3010">
        <f t="shared" si="14"/>
        <v>56156</v>
      </c>
      <c r="K142" s="3007" t="str">
        <f t="shared" si="15"/>
        <v>12层</v>
      </c>
      <c r="L142" s="3007" t="str">
        <f t="shared" si="12"/>
        <v>7层</v>
      </c>
      <c r="N142" s="3002">
        <f t="shared" ca="1" si="13"/>
        <v>496475</v>
      </c>
    </row>
    <row r="143" spans="1:14" ht="24">
      <c r="A143" s="3007">
        <v>140</v>
      </c>
      <c r="B143" s="3007" t="s">
        <v>3199</v>
      </c>
      <c r="C143" s="3004" t="s">
        <v>3477</v>
      </c>
      <c r="D143" s="3007" t="s">
        <v>3731</v>
      </c>
      <c r="E143" s="3008" t="s">
        <v>3732</v>
      </c>
      <c r="F143" s="3011">
        <v>53.17</v>
      </c>
      <c r="G143" s="3011">
        <v>5.93</v>
      </c>
      <c r="H143" s="3004" t="s">
        <v>1373</v>
      </c>
      <c r="I143" s="3007" t="s">
        <v>3440</v>
      </c>
      <c r="J143" s="3010">
        <f t="shared" si="14"/>
        <v>56156</v>
      </c>
      <c r="K143" s="3007" t="str">
        <f t="shared" si="15"/>
        <v>12层</v>
      </c>
      <c r="L143" s="3007" t="str">
        <f t="shared" si="12"/>
        <v>7层</v>
      </c>
      <c r="N143" s="3002">
        <f t="shared" ca="1" si="13"/>
        <v>496289</v>
      </c>
    </row>
    <row r="144" spans="1:14" ht="24">
      <c r="A144" s="3007">
        <v>141</v>
      </c>
      <c r="B144" s="3007" t="s">
        <v>3200</v>
      </c>
      <c r="C144" s="3004" t="s">
        <v>3477</v>
      </c>
      <c r="D144" s="3007" t="s">
        <v>3733</v>
      </c>
      <c r="E144" s="3008" t="s">
        <v>3734</v>
      </c>
      <c r="F144" s="3011">
        <v>73.2</v>
      </c>
      <c r="G144" s="3011">
        <v>8.17</v>
      </c>
      <c r="H144" s="3004" t="s">
        <v>1373</v>
      </c>
      <c r="I144" s="3007" t="s">
        <v>3440</v>
      </c>
      <c r="J144" s="3010">
        <f t="shared" si="14"/>
        <v>56156</v>
      </c>
      <c r="K144" s="3007" t="str">
        <f t="shared" si="15"/>
        <v>12层</v>
      </c>
      <c r="L144" s="3007" t="str">
        <f t="shared" si="12"/>
        <v>7层</v>
      </c>
      <c r="N144" s="3002">
        <f t="shared" ca="1" si="13"/>
        <v>683249</v>
      </c>
    </row>
    <row r="145" spans="1:14" ht="24">
      <c r="A145" s="3007">
        <v>142</v>
      </c>
      <c r="B145" s="3007" t="s">
        <v>3201</v>
      </c>
      <c r="C145" s="3004" t="s">
        <v>3477</v>
      </c>
      <c r="D145" s="3007" t="s">
        <v>3735</v>
      </c>
      <c r="E145" s="3008" t="s">
        <v>3736</v>
      </c>
      <c r="F145" s="3011">
        <v>72.569999999999993</v>
      </c>
      <c r="G145" s="3011">
        <v>8.1</v>
      </c>
      <c r="H145" s="3004" t="s">
        <v>1373</v>
      </c>
      <c r="I145" s="3007" t="s">
        <v>3440</v>
      </c>
      <c r="J145" s="3010">
        <f t="shared" si="14"/>
        <v>56156</v>
      </c>
      <c r="K145" s="3007" t="str">
        <f t="shared" si="15"/>
        <v>12层</v>
      </c>
      <c r="L145" s="3007" t="str">
        <f t="shared" si="12"/>
        <v>7层</v>
      </c>
      <c r="N145" s="3002">
        <f t="shared" ca="1" si="13"/>
        <v>677368</v>
      </c>
    </row>
    <row r="146" spans="1:14" ht="24">
      <c r="A146" s="3007">
        <v>143</v>
      </c>
      <c r="B146" s="3007" t="s">
        <v>3202</v>
      </c>
      <c r="C146" s="3004" t="s">
        <v>3477</v>
      </c>
      <c r="D146" s="3007" t="s">
        <v>3737</v>
      </c>
      <c r="E146" s="3008" t="s">
        <v>3738</v>
      </c>
      <c r="F146" s="3011">
        <v>53.17</v>
      </c>
      <c r="G146" s="3011">
        <v>5.93</v>
      </c>
      <c r="H146" s="3004" t="s">
        <v>1373</v>
      </c>
      <c r="I146" s="3007" t="s">
        <v>3440</v>
      </c>
      <c r="J146" s="3010">
        <f t="shared" si="14"/>
        <v>56156</v>
      </c>
      <c r="K146" s="3007" t="str">
        <f t="shared" si="15"/>
        <v>12层</v>
      </c>
      <c r="L146" s="3007" t="str">
        <f t="shared" si="12"/>
        <v>7层</v>
      </c>
      <c r="N146" s="3002">
        <f t="shared" ca="1" si="13"/>
        <v>496289</v>
      </c>
    </row>
    <row r="147" spans="1:14" ht="24">
      <c r="A147" s="3007">
        <v>144</v>
      </c>
      <c r="B147" s="3007" t="s">
        <v>3203</v>
      </c>
      <c r="C147" s="3004" t="s">
        <v>3477</v>
      </c>
      <c r="D147" s="3007" t="s">
        <v>3739</v>
      </c>
      <c r="E147" s="3008" t="s">
        <v>3740</v>
      </c>
      <c r="F147" s="3011">
        <v>53.19</v>
      </c>
      <c r="G147" s="3011">
        <v>5.94</v>
      </c>
      <c r="H147" s="3004" t="s">
        <v>1373</v>
      </c>
      <c r="I147" s="3007" t="s">
        <v>3440</v>
      </c>
      <c r="J147" s="3010">
        <f t="shared" si="14"/>
        <v>56156</v>
      </c>
      <c r="K147" s="3007" t="str">
        <f t="shared" si="15"/>
        <v>12层</v>
      </c>
      <c r="L147" s="3007" t="str">
        <f t="shared" si="12"/>
        <v>7层</v>
      </c>
      <c r="N147" s="3002">
        <f t="shared" ca="1" si="13"/>
        <v>496475</v>
      </c>
    </row>
    <row r="148" spans="1:14" ht="24">
      <c r="A148" s="3007">
        <v>145</v>
      </c>
      <c r="B148" s="3007" t="s">
        <v>3204</v>
      </c>
      <c r="C148" s="3004" t="s">
        <v>3477</v>
      </c>
      <c r="D148" s="3007" t="s">
        <v>3741</v>
      </c>
      <c r="E148" s="3008" t="s">
        <v>3742</v>
      </c>
      <c r="F148" s="3011">
        <v>52.53</v>
      </c>
      <c r="G148" s="3011">
        <v>5.86</v>
      </c>
      <c r="H148" s="3004" t="s">
        <v>1373</v>
      </c>
      <c r="I148" s="3007" t="s">
        <v>3440</v>
      </c>
      <c r="J148" s="3010">
        <f t="shared" si="14"/>
        <v>56156</v>
      </c>
      <c r="K148" s="3007" t="str">
        <f t="shared" si="15"/>
        <v>12层</v>
      </c>
      <c r="L148" s="3007" t="str">
        <f t="shared" si="12"/>
        <v>7层</v>
      </c>
      <c r="N148" s="3002">
        <f t="shared" ca="1" si="13"/>
        <v>490315</v>
      </c>
    </row>
    <row r="149" spans="1:14" ht="24">
      <c r="A149" s="3007">
        <v>146</v>
      </c>
      <c r="B149" s="3007" t="s">
        <v>3205</v>
      </c>
      <c r="C149" s="3004" t="s">
        <v>3477</v>
      </c>
      <c r="D149" s="3007" t="s">
        <v>3743</v>
      </c>
      <c r="E149" s="3008" t="s">
        <v>3744</v>
      </c>
      <c r="F149" s="3011">
        <v>64.930000000000007</v>
      </c>
      <c r="G149" s="3011">
        <v>7.25</v>
      </c>
      <c r="H149" s="3004" t="s">
        <v>1373</v>
      </c>
      <c r="I149" s="3007" t="s">
        <v>3440</v>
      </c>
      <c r="J149" s="3010">
        <f t="shared" si="14"/>
        <v>56156</v>
      </c>
      <c r="K149" s="3007" t="str">
        <f t="shared" si="15"/>
        <v>12层</v>
      </c>
      <c r="L149" s="3007" t="str">
        <f t="shared" si="12"/>
        <v>7层</v>
      </c>
      <c r="N149" s="3002">
        <f t="shared" ca="1" si="13"/>
        <v>606057</v>
      </c>
    </row>
    <row r="150" spans="1:14" ht="24">
      <c r="A150" s="3007">
        <v>147</v>
      </c>
      <c r="B150" s="3007" t="s">
        <v>3206</v>
      </c>
      <c r="C150" s="3004" t="s">
        <v>3477</v>
      </c>
      <c r="D150" s="3007" t="s">
        <v>3745</v>
      </c>
      <c r="E150" s="3008" t="s">
        <v>3746</v>
      </c>
      <c r="F150" s="3011">
        <v>51.1</v>
      </c>
      <c r="G150" s="3011">
        <v>5.7</v>
      </c>
      <c r="H150" s="3004" t="s">
        <v>1373</v>
      </c>
      <c r="I150" s="3007" t="s">
        <v>3440</v>
      </c>
      <c r="J150" s="3010">
        <f t="shared" si="14"/>
        <v>56156</v>
      </c>
      <c r="K150" s="3007" t="str">
        <f t="shared" si="15"/>
        <v>12层</v>
      </c>
      <c r="L150" s="3007" t="s">
        <v>3747</v>
      </c>
      <c r="N150" s="3002">
        <f t="shared" ca="1" si="13"/>
        <v>476967</v>
      </c>
    </row>
    <row r="151" spans="1:14" ht="24">
      <c r="A151" s="3007">
        <v>148</v>
      </c>
      <c r="B151" s="3007" t="s">
        <v>3207</v>
      </c>
      <c r="C151" s="3004" t="s">
        <v>3477</v>
      </c>
      <c r="D151" s="3007" t="s">
        <v>3748</v>
      </c>
      <c r="E151" s="3008" t="s">
        <v>3749</v>
      </c>
      <c r="F151" s="3011">
        <v>52.87</v>
      </c>
      <c r="G151" s="3011">
        <v>5.9</v>
      </c>
      <c r="H151" s="3004" t="s">
        <v>1373</v>
      </c>
      <c r="I151" s="3007" t="s">
        <v>3440</v>
      </c>
      <c r="J151" s="3010">
        <f t="shared" si="14"/>
        <v>56156</v>
      </c>
      <c r="K151" s="3007" t="str">
        <f t="shared" si="15"/>
        <v>12层</v>
      </c>
      <c r="L151" s="3007" t="str">
        <f>$L$150</f>
        <v>8层</v>
      </c>
      <c r="N151" s="3002">
        <f t="shared" ca="1" si="13"/>
        <v>493489</v>
      </c>
    </row>
    <row r="152" spans="1:14" ht="24">
      <c r="A152" s="3007">
        <v>149</v>
      </c>
      <c r="B152" s="3007" t="s">
        <v>3208</v>
      </c>
      <c r="C152" s="3004" t="s">
        <v>3621</v>
      </c>
      <c r="D152" s="3007" t="s">
        <v>3750</v>
      </c>
      <c r="E152" s="3008" t="s">
        <v>3751</v>
      </c>
      <c r="F152" s="3011">
        <v>52.86</v>
      </c>
      <c r="G152" s="3011">
        <v>5.9</v>
      </c>
      <c r="H152" s="3004" t="s">
        <v>1373</v>
      </c>
      <c r="I152" s="3007" t="s">
        <v>3440</v>
      </c>
      <c r="J152" s="3010">
        <f t="shared" si="14"/>
        <v>56156</v>
      </c>
      <c r="K152" s="3007" t="str">
        <f t="shared" si="15"/>
        <v>12层</v>
      </c>
      <c r="L152" s="3007" t="str">
        <f t="shared" ref="L152:L170" si="16">$L$150</f>
        <v>8层</v>
      </c>
      <c r="N152" s="3002">
        <f t="shared" ca="1" si="13"/>
        <v>493395</v>
      </c>
    </row>
    <row r="153" spans="1:14" ht="24">
      <c r="A153" s="3007">
        <v>150</v>
      </c>
      <c r="B153" s="3007" t="s">
        <v>3209</v>
      </c>
      <c r="C153" s="3004" t="s">
        <v>3621</v>
      </c>
      <c r="D153" s="3007" t="s">
        <v>3752</v>
      </c>
      <c r="E153" s="3008" t="s">
        <v>3753</v>
      </c>
      <c r="F153" s="3011">
        <v>52.87</v>
      </c>
      <c r="G153" s="3011">
        <v>5.9</v>
      </c>
      <c r="H153" s="3004" t="s">
        <v>1373</v>
      </c>
      <c r="I153" s="3007" t="s">
        <v>3665</v>
      </c>
      <c r="J153" s="3010">
        <f t="shared" si="14"/>
        <v>56156</v>
      </c>
      <c r="K153" s="3007" t="str">
        <f t="shared" si="15"/>
        <v>12层</v>
      </c>
      <c r="L153" s="3007" t="str">
        <f t="shared" si="16"/>
        <v>8层</v>
      </c>
      <c r="N153" s="3002">
        <f t="shared" ca="1" si="13"/>
        <v>493489</v>
      </c>
    </row>
    <row r="154" spans="1:14" ht="24">
      <c r="A154" s="3007">
        <v>151</v>
      </c>
      <c r="B154" s="3007" t="s">
        <v>3210</v>
      </c>
      <c r="C154" s="3004" t="s">
        <v>3621</v>
      </c>
      <c r="D154" s="3007" t="s">
        <v>3754</v>
      </c>
      <c r="E154" s="3008" t="s">
        <v>3755</v>
      </c>
      <c r="F154" s="3011">
        <v>71.400000000000006</v>
      </c>
      <c r="G154" s="3011">
        <v>7.97</v>
      </c>
      <c r="H154" s="3004" t="s">
        <v>1373</v>
      </c>
      <c r="I154" s="3007" t="s">
        <v>3665</v>
      </c>
      <c r="J154" s="3010">
        <f t="shared" si="14"/>
        <v>56156</v>
      </c>
      <c r="K154" s="3007" t="str">
        <f t="shared" si="15"/>
        <v>12层</v>
      </c>
      <c r="L154" s="3007" t="str">
        <f t="shared" si="16"/>
        <v>8层</v>
      </c>
      <c r="N154" s="3002">
        <f t="shared" ca="1" si="13"/>
        <v>666448</v>
      </c>
    </row>
    <row r="155" spans="1:14" ht="24">
      <c r="A155" s="3007">
        <v>152</v>
      </c>
      <c r="B155" s="3007" t="s">
        <v>3211</v>
      </c>
      <c r="C155" s="3004" t="s">
        <v>3621</v>
      </c>
      <c r="D155" s="3007" t="s">
        <v>3756</v>
      </c>
      <c r="E155" s="3008" t="s">
        <v>3757</v>
      </c>
      <c r="F155" s="3011">
        <v>71.819999999999993</v>
      </c>
      <c r="G155" s="3011">
        <v>8.01</v>
      </c>
      <c r="H155" s="3004" t="s">
        <v>1373</v>
      </c>
      <c r="I155" s="3007" t="s">
        <v>3665</v>
      </c>
      <c r="J155" s="3010">
        <f t="shared" si="14"/>
        <v>56156</v>
      </c>
      <c r="K155" s="3007" t="str">
        <f t="shared" si="15"/>
        <v>12层</v>
      </c>
      <c r="L155" s="3007" t="str">
        <f t="shared" si="16"/>
        <v>8层</v>
      </c>
      <c r="N155" s="3002">
        <f t="shared" ca="1" si="13"/>
        <v>670368</v>
      </c>
    </row>
    <row r="156" spans="1:14" ht="24">
      <c r="A156" s="3007">
        <v>153</v>
      </c>
      <c r="B156" s="3007" t="s">
        <v>3212</v>
      </c>
      <c r="C156" s="3004" t="s">
        <v>3621</v>
      </c>
      <c r="D156" s="3007" t="s">
        <v>3758</v>
      </c>
      <c r="E156" s="3008" t="s">
        <v>3759</v>
      </c>
      <c r="F156" s="3011">
        <v>52.47</v>
      </c>
      <c r="G156" s="3011">
        <v>5.86</v>
      </c>
      <c r="H156" s="3004" t="s">
        <v>1373</v>
      </c>
      <c r="I156" s="3007" t="s">
        <v>3665</v>
      </c>
      <c r="J156" s="3010">
        <f t="shared" si="14"/>
        <v>56156</v>
      </c>
      <c r="K156" s="3007" t="str">
        <f t="shared" si="15"/>
        <v>12层</v>
      </c>
      <c r="L156" s="3007" t="str">
        <f t="shared" si="16"/>
        <v>8层</v>
      </c>
      <c r="N156" s="3002">
        <f t="shared" ca="1" si="13"/>
        <v>489755</v>
      </c>
    </row>
    <row r="157" spans="1:14" ht="24">
      <c r="A157" s="3007">
        <v>154</v>
      </c>
      <c r="B157" s="3007" t="s">
        <v>3213</v>
      </c>
      <c r="C157" s="3004" t="s">
        <v>3621</v>
      </c>
      <c r="D157" s="3007" t="s">
        <v>3760</v>
      </c>
      <c r="E157" s="3008" t="s">
        <v>3761</v>
      </c>
      <c r="F157" s="3011">
        <v>53.33</v>
      </c>
      <c r="G157" s="3011">
        <v>5.95</v>
      </c>
      <c r="H157" s="3004" t="s">
        <v>1373</v>
      </c>
      <c r="I157" s="3007" t="s">
        <v>3665</v>
      </c>
      <c r="J157" s="3010">
        <f t="shared" si="14"/>
        <v>56156</v>
      </c>
      <c r="K157" s="3007" t="str">
        <f t="shared" si="15"/>
        <v>12层</v>
      </c>
      <c r="L157" s="3007" t="str">
        <f t="shared" si="16"/>
        <v>8层</v>
      </c>
      <c r="N157" s="3002">
        <f t="shared" ca="1" si="13"/>
        <v>497782</v>
      </c>
    </row>
    <row r="158" spans="1:14" ht="24">
      <c r="A158" s="3007">
        <v>155</v>
      </c>
      <c r="B158" s="3007" t="s">
        <v>3214</v>
      </c>
      <c r="C158" s="3004" t="s">
        <v>3621</v>
      </c>
      <c r="D158" s="3007" t="s">
        <v>3762</v>
      </c>
      <c r="E158" s="3008" t="s">
        <v>3763</v>
      </c>
      <c r="F158" s="3011">
        <v>61.47</v>
      </c>
      <c r="G158" s="3011">
        <v>6.86</v>
      </c>
      <c r="H158" s="3004" t="s">
        <v>1373</v>
      </c>
      <c r="I158" s="3007" t="s">
        <v>3665</v>
      </c>
      <c r="J158" s="3010">
        <f t="shared" si="14"/>
        <v>56156</v>
      </c>
      <c r="K158" s="3007" t="str">
        <f t="shared" si="15"/>
        <v>12层</v>
      </c>
      <c r="L158" s="3007" t="str">
        <f t="shared" si="16"/>
        <v>8层</v>
      </c>
      <c r="N158" s="3002">
        <f t="shared" ca="1" si="13"/>
        <v>573761</v>
      </c>
    </row>
    <row r="159" spans="1:14" ht="24">
      <c r="A159" s="3007">
        <v>156</v>
      </c>
      <c r="B159" s="3007" t="s">
        <v>3215</v>
      </c>
      <c r="C159" s="3004" t="s">
        <v>3621</v>
      </c>
      <c r="D159" s="3007" t="s">
        <v>3764</v>
      </c>
      <c r="E159" s="3008" t="s">
        <v>3765</v>
      </c>
      <c r="F159" s="3011">
        <v>66.06</v>
      </c>
      <c r="G159" s="3011">
        <v>7.37</v>
      </c>
      <c r="H159" s="3004" t="s">
        <v>1373</v>
      </c>
      <c r="I159" s="3007" t="s">
        <v>3665</v>
      </c>
      <c r="J159" s="3010">
        <f t="shared" si="14"/>
        <v>56156</v>
      </c>
      <c r="K159" s="3007" t="str">
        <f t="shared" si="15"/>
        <v>12层</v>
      </c>
      <c r="L159" s="3007" t="str">
        <f t="shared" si="16"/>
        <v>8层</v>
      </c>
      <c r="N159" s="3002">
        <f t="shared" ca="1" si="13"/>
        <v>616604</v>
      </c>
    </row>
    <row r="160" spans="1:14" ht="24">
      <c r="A160" s="3007">
        <v>157</v>
      </c>
      <c r="B160" s="3007" t="s">
        <v>3216</v>
      </c>
      <c r="C160" s="3004" t="s">
        <v>3621</v>
      </c>
      <c r="D160" s="3007" t="s">
        <v>3766</v>
      </c>
      <c r="E160" s="3008" t="s">
        <v>3767</v>
      </c>
      <c r="F160" s="3011">
        <v>60.87</v>
      </c>
      <c r="G160" s="3011">
        <v>6.79</v>
      </c>
      <c r="H160" s="3004" t="s">
        <v>1373</v>
      </c>
      <c r="I160" s="3007" t="s">
        <v>3665</v>
      </c>
      <c r="J160" s="3010">
        <f t="shared" si="14"/>
        <v>56156</v>
      </c>
      <c r="K160" s="3007" t="str">
        <f t="shared" si="15"/>
        <v>12层</v>
      </c>
      <c r="L160" s="3007" t="str">
        <f t="shared" si="16"/>
        <v>8层</v>
      </c>
      <c r="N160" s="3002">
        <f t="shared" ca="1" si="13"/>
        <v>568161</v>
      </c>
    </row>
    <row r="161" spans="1:14" ht="24">
      <c r="A161" s="3007">
        <v>158</v>
      </c>
      <c r="B161" s="3007" t="s">
        <v>3217</v>
      </c>
      <c r="C161" s="3004" t="s">
        <v>3621</v>
      </c>
      <c r="D161" s="3007" t="s">
        <v>3768</v>
      </c>
      <c r="E161" s="3008" t="s">
        <v>3769</v>
      </c>
      <c r="F161" s="3011">
        <v>53.25</v>
      </c>
      <c r="G161" s="3011">
        <v>5.94</v>
      </c>
      <c r="H161" s="3004" t="s">
        <v>1373</v>
      </c>
      <c r="I161" s="3007" t="s">
        <v>3665</v>
      </c>
      <c r="J161" s="3010">
        <f t="shared" si="14"/>
        <v>56156</v>
      </c>
      <c r="K161" s="3007" t="str">
        <f t="shared" si="15"/>
        <v>12层</v>
      </c>
      <c r="L161" s="3007" t="str">
        <f t="shared" si="16"/>
        <v>8层</v>
      </c>
      <c r="N161" s="3002">
        <f t="shared" ca="1" si="13"/>
        <v>497036</v>
      </c>
    </row>
    <row r="162" spans="1:14" ht="24">
      <c r="A162" s="3007">
        <v>159</v>
      </c>
      <c r="B162" s="3007" t="s">
        <v>3218</v>
      </c>
      <c r="C162" s="3004" t="s">
        <v>3621</v>
      </c>
      <c r="D162" s="3007" t="s">
        <v>3770</v>
      </c>
      <c r="E162" s="3008" t="s">
        <v>3771</v>
      </c>
      <c r="F162" s="3011">
        <v>53.19</v>
      </c>
      <c r="G162" s="3011">
        <v>5.94</v>
      </c>
      <c r="H162" s="3004" t="s">
        <v>1373</v>
      </c>
      <c r="I162" s="3007" t="s">
        <v>3665</v>
      </c>
      <c r="J162" s="3010">
        <f t="shared" si="14"/>
        <v>56156</v>
      </c>
      <c r="K162" s="3007" t="str">
        <f t="shared" si="15"/>
        <v>12层</v>
      </c>
      <c r="L162" s="3007" t="str">
        <f t="shared" si="16"/>
        <v>8层</v>
      </c>
      <c r="N162" s="3002">
        <f t="shared" ca="1" si="13"/>
        <v>496475</v>
      </c>
    </row>
    <row r="163" spans="1:14" ht="24">
      <c r="A163" s="3007">
        <v>160</v>
      </c>
      <c r="B163" s="3007" t="s">
        <v>3219</v>
      </c>
      <c r="C163" s="3004" t="s">
        <v>3621</v>
      </c>
      <c r="D163" s="3007" t="s">
        <v>3772</v>
      </c>
      <c r="E163" s="3008" t="s">
        <v>3773</v>
      </c>
      <c r="F163" s="3011">
        <v>53.19</v>
      </c>
      <c r="G163" s="3011">
        <v>5.94</v>
      </c>
      <c r="H163" s="3004" t="s">
        <v>1373</v>
      </c>
      <c r="I163" s="3007" t="s">
        <v>3665</v>
      </c>
      <c r="J163" s="3010">
        <f t="shared" si="14"/>
        <v>56156</v>
      </c>
      <c r="K163" s="3007" t="str">
        <f t="shared" si="15"/>
        <v>12层</v>
      </c>
      <c r="L163" s="3007" t="str">
        <f t="shared" si="16"/>
        <v>8层</v>
      </c>
      <c r="N163" s="3002">
        <f t="shared" ca="1" si="13"/>
        <v>496475</v>
      </c>
    </row>
    <row r="164" spans="1:14" ht="24">
      <c r="A164" s="3007">
        <v>161</v>
      </c>
      <c r="B164" s="3007" t="s">
        <v>3220</v>
      </c>
      <c r="C164" s="3004" t="s">
        <v>3621</v>
      </c>
      <c r="D164" s="3007" t="s">
        <v>3774</v>
      </c>
      <c r="E164" s="3008" t="s">
        <v>3775</v>
      </c>
      <c r="F164" s="3011">
        <v>53.17</v>
      </c>
      <c r="G164" s="3011">
        <v>5.93</v>
      </c>
      <c r="H164" s="3004" t="s">
        <v>1373</v>
      </c>
      <c r="I164" s="3007" t="s">
        <v>3665</v>
      </c>
      <c r="J164" s="3010">
        <f t="shared" si="14"/>
        <v>56156</v>
      </c>
      <c r="K164" s="3007" t="str">
        <f t="shared" si="15"/>
        <v>12层</v>
      </c>
      <c r="L164" s="3007" t="str">
        <f t="shared" si="16"/>
        <v>8层</v>
      </c>
      <c r="N164" s="3002">
        <f t="shared" ca="1" si="13"/>
        <v>496289</v>
      </c>
    </row>
    <row r="165" spans="1:14" ht="24">
      <c r="A165" s="3007">
        <v>162</v>
      </c>
      <c r="B165" s="3007" t="s">
        <v>3221</v>
      </c>
      <c r="C165" s="3004" t="s">
        <v>3621</v>
      </c>
      <c r="D165" s="3007" t="s">
        <v>3776</v>
      </c>
      <c r="E165" s="3008" t="s">
        <v>3777</v>
      </c>
      <c r="F165" s="3011">
        <v>73.2</v>
      </c>
      <c r="G165" s="3011">
        <v>8.17</v>
      </c>
      <c r="H165" s="3004" t="s">
        <v>1373</v>
      </c>
      <c r="I165" s="3007" t="s">
        <v>3665</v>
      </c>
      <c r="J165" s="3010">
        <f t="shared" si="14"/>
        <v>56156</v>
      </c>
      <c r="K165" s="3007" t="str">
        <f t="shared" si="15"/>
        <v>12层</v>
      </c>
      <c r="L165" s="3007" t="str">
        <f t="shared" si="16"/>
        <v>8层</v>
      </c>
      <c r="N165" s="3002">
        <f t="shared" ca="1" si="13"/>
        <v>683249</v>
      </c>
    </row>
    <row r="166" spans="1:14" ht="24">
      <c r="A166" s="3007">
        <v>163</v>
      </c>
      <c r="B166" s="3007" t="s">
        <v>3222</v>
      </c>
      <c r="C166" s="3004" t="s">
        <v>3621</v>
      </c>
      <c r="D166" s="3007" t="s">
        <v>3778</v>
      </c>
      <c r="E166" s="3008" t="s">
        <v>3779</v>
      </c>
      <c r="F166" s="3011">
        <v>72.569999999999993</v>
      </c>
      <c r="G166" s="3011">
        <v>8.1</v>
      </c>
      <c r="H166" s="3004" t="s">
        <v>1373</v>
      </c>
      <c r="I166" s="3007" t="s">
        <v>3665</v>
      </c>
      <c r="J166" s="3010">
        <f t="shared" si="14"/>
        <v>56156</v>
      </c>
      <c r="K166" s="3007" t="str">
        <f t="shared" si="15"/>
        <v>12层</v>
      </c>
      <c r="L166" s="3007" t="str">
        <f t="shared" si="16"/>
        <v>8层</v>
      </c>
      <c r="N166" s="3002">
        <f t="shared" ca="1" si="13"/>
        <v>677368</v>
      </c>
    </row>
    <row r="167" spans="1:14" ht="24">
      <c r="A167" s="3007">
        <v>164</v>
      </c>
      <c r="B167" s="3007" t="s">
        <v>3223</v>
      </c>
      <c r="C167" s="3004" t="s">
        <v>3621</v>
      </c>
      <c r="D167" s="3007" t="s">
        <v>3780</v>
      </c>
      <c r="E167" s="3008" t="s">
        <v>3781</v>
      </c>
      <c r="F167" s="3011">
        <v>53.17</v>
      </c>
      <c r="G167" s="3011">
        <v>5.93</v>
      </c>
      <c r="H167" s="3004" t="s">
        <v>1373</v>
      </c>
      <c r="I167" s="3007" t="s">
        <v>3665</v>
      </c>
      <c r="J167" s="3010">
        <f t="shared" si="14"/>
        <v>56156</v>
      </c>
      <c r="K167" s="3007" t="str">
        <f t="shared" si="15"/>
        <v>12层</v>
      </c>
      <c r="L167" s="3007" t="str">
        <f t="shared" si="16"/>
        <v>8层</v>
      </c>
      <c r="N167" s="3002">
        <f t="shared" ca="1" si="13"/>
        <v>496289</v>
      </c>
    </row>
    <row r="168" spans="1:14" ht="24">
      <c r="A168" s="3007">
        <v>165</v>
      </c>
      <c r="B168" s="3007" t="s">
        <v>3224</v>
      </c>
      <c r="C168" s="3004" t="s">
        <v>3621</v>
      </c>
      <c r="D168" s="3007" t="s">
        <v>3782</v>
      </c>
      <c r="E168" s="3008" t="s">
        <v>3783</v>
      </c>
      <c r="F168" s="3011">
        <v>53.19</v>
      </c>
      <c r="G168" s="3011">
        <v>5.94</v>
      </c>
      <c r="H168" s="3004" t="s">
        <v>1373</v>
      </c>
      <c r="I168" s="3007" t="s">
        <v>3440</v>
      </c>
      <c r="J168" s="3010">
        <f t="shared" si="14"/>
        <v>56156</v>
      </c>
      <c r="K168" s="3007" t="str">
        <f t="shared" si="15"/>
        <v>12层</v>
      </c>
      <c r="L168" s="3007" t="str">
        <f t="shared" si="16"/>
        <v>8层</v>
      </c>
      <c r="N168" s="3002">
        <f t="shared" ca="1" si="13"/>
        <v>496475</v>
      </c>
    </row>
    <row r="169" spans="1:14" ht="24">
      <c r="A169" s="3007">
        <v>166</v>
      </c>
      <c r="B169" s="3007" t="s">
        <v>3225</v>
      </c>
      <c r="C169" s="3004" t="s">
        <v>3477</v>
      </c>
      <c r="D169" s="3007" t="s">
        <v>3784</v>
      </c>
      <c r="E169" s="3008" t="s">
        <v>3785</v>
      </c>
      <c r="F169" s="3011">
        <v>52.53</v>
      </c>
      <c r="G169" s="3011">
        <v>5.86</v>
      </c>
      <c r="H169" s="3004" t="s">
        <v>1373</v>
      </c>
      <c r="I169" s="3007" t="s">
        <v>3440</v>
      </c>
      <c r="J169" s="3010">
        <f t="shared" si="14"/>
        <v>56156</v>
      </c>
      <c r="K169" s="3007" t="str">
        <f t="shared" si="15"/>
        <v>12层</v>
      </c>
      <c r="L169" s="3007" t="str">
        <f t="shared" si="16"/>
        <v>8层</v>
      </c>
      <c r="N169" s="3002">
        <f t="shared" ca="1" si="13"/>
        <v>490315</v>
      </c>
    </row>
    <row r="170" spans="1:14" ht="24">
      <c r="A170" s="3007">
        <v>167</v>
      </c>
      <c r="B170" s="3007" t="s">
        <v>3226</v>
      </c>
      <c r="C170" s="3004" t="s">
        <v>3477</v>
      </c>
      <c r="D170" s="3007" t="s">
        <v>3786</v>
      </c>
      <c r="E170" s="3008" t="s">
        <v>3787</v>
      </c>
      <c r="F170" s="3011">
        <v>64.930000000000007</v>
      </c>
      <c r="G170" s="3011">
        <v>7.25</v>
      </c>
      <c r="H170" s="3004" t="s">
        <v>1373</v>
      </c>
      <c r="I170" s="3007" t="s">
        <v>3440</v>
      </c>
      <c r="J170" s="3010">
        <f t="shared" si="14"/>
        <v>56156</v>
      </c>
      <c r="K170" s="3007" t="str">
        <f t="shared" si="15"/>
        <v>12层</v>
      </c>
      <c r="L170" s="3007" t="str">
        <f t="shared" si="16"/>
        <v>8层</v>
      </c>
      <c r="N170" s="3002">
        <f t="shared" ca="1" si="13"/>
        <v>606057</v>
      </c>
    </row>
    <row r="171" spans="1:14" ht="24">
      <c r="A171" s="3007">
        <v>168</v>
      </c>
      <c r="B171" s="3007" t="s">
        <v>3227</v>
      </c>
      <c r="C171" s="3004" t="s">
        <v>3477</v>
      </c>
      <c r="D171" s="3007" t="s">
        <v>3788</v>
      </c>
      <c r="E171" s="3008" t="s">
        <v>3789</v>
      </c>
      <c r="F171" s="3011">
        <v>50.65</v>
      </c>
      <c r="G171" s="3011">
        <v>5.65</v>
      </c>
      <c r="H171" s="3004" t="s">
        <v>1373</v>
      </c>
      <c r="I171" s="3007" t="s">
        <v>3440</v>
      </c>
      <c r="J171" s="3010">
        <f t="shared" si="14"/>
        <v>56156</v>
      </c>
      <c r="K171" s="3007" t="str">
        <f t="shared" si="15"/>
        <v>12层</v>
      </c>
      <c r="L171" s="3007" t="s">
        <v>3790</v>
      </c>
      <c r="N171" s="3002">
        <f t="shared" ca="1" si="13"/>
        <v>472767</v>
      </c>
    </row>
    <row r="172" spans="1:14" ht="24">
      <c r="A172" s="3007">
        <v>169</v>
      </c>
      <c r="B172" s="3007" t="s">
        <v>3228</v>
      </c>
      <c r="C172" s="3004" t="s">
        <v>3477</v>
      </c>
      <c r="D172" s="3007" t="s">
        <v>3791</v>
      </c>
      <c r="E172" s="3008" t="s">
        <v>3792</v>
      </c>
      <c r="F172" s="3011">
        <v>52.4</v>
      </c>
      <c r="G172" s="3011">
        <v>5.85</v>
      </c>
      <c r="H172" s="3004" t="s">
        <v>1373</v>
      </c>
      <c r="I172" s="3007" t="s">
        <v>3440</v>
      </c>
      <c r="J172" s="3010">
        <f t="shared" si="14"/>
        <v>56156</v>
      </c>
      <c r="K172" s="3007" t="str">
        <f t="shared" si="15"/>
        <v>12层</v>
      </c>
      <c r="L172" s="3007" t="str">
        <f>$L$171</f>
        <v>9层</v>
      </c>
      <c r="N172" s="3002">
        <f t="shared" ca="1" si="13"/>
        <v>489102</v>
      </c>
    </row>
    <row r="173" spans="1:14" ht="24">
      <c r="A173" s="3007">
        <v>170</v>
      </c>
      <c r="B173" s="3007" t="s">
        <v>3229</v>
      </c>
      <c r="C173" s="3004" t="s">
        <v>3621</v>
      </c>
      <c r="D173" s="3007" t="s">
        <v>3793</v>
      </c>
      <c r="E173" s="3008" t="s">
        <v>3794</v>
      </c>
      <c r="F173" s="3011">
        <v>52.39</v>
      </c>
      <c r="G173" s="3011">
        <v>5.85</v>
      </c>
      <c r="H173" s="3004" t="s">
        <v>1373</v>
      </c>
      <c r="I173" s="3007" t="s">
        <v>3665</v>
      </c>
      <c r="J173" s="3010">
        <f t="shared" si="14"/>
        <v>56156</v>
      </c>
      <c r="K173" s="3007" t="str">
        <f t="shared" si="15"/>
        <v>12层</v>
      </c>
      <c r="L173" s="3007" t="str">
        <f t="shared" ref="L173:L193" si="17">$L$171</f>
        <v>9层</v>
      </c>
      <c r="N173" s="3002">
        <f t="shared" ca="1" si="13"/>
        <v>489008</v>
      </c>
    </row>
    <row r="174" spans="1:14" ht="24">
      <c r="A174" s="3007">
        <v>171</v>
      </c>
      <c r="B174" s="3007" t="s">
        <v>3230</v>
      </c>
      <c r="C174" s="3004" t="s">
        <v>3527</v>
      </c>
      <c r="D174" s="3007" t="s">
        <v>3795</v>
      </c>
      <c r="E174" s="3008" t="s">
        <v>3796</v>
      </c>
      <c r="F174" s="3011">
        <v>52.4</v>
      </c>
      <c r="G174" s="3011">
        <v>5.85</v>
      </c>
      <c r="H174" s="3004" t="s">
        <v>1373</v>
      </c>
      <c r="I174" s="3007" t="s">
        <v>3530</v>
      </c>
      <c r="J174" s="3010">
        <f t="shared" si="14"/>
        <v>56156</v>
      </c>
      <c r="K174" s="3007" t="str">
        <f t="shared" si="15"/>
        <v>12层</v>
      </c>
      <c r="L174" s="3007" t="str">
        <f t="shared" si="17"/>
        <v>9层</v>
      </c>
      <c r="N174" s="3002">
        <f t="shared" ca="1" si="13"/>
        <v>489102</v>
      </c>
    </row>
    <row r="175" spans="1:14" ht="24">
      <c r="A175" s="3007">
        <v>172</v>
      </c>
      <c r="B175" s="3007" t="s">
        <v>3231</v>
      </c>
      <c r="C175" s="3004" t="s">
        <v>3527</v>
      </c>
      <c r="D175" s="3007" t="s">
        <v>3797</v>
      </c>
      <c r="E175" s="3008" t="s">
        <v>3798</v>
      </c>
      <c r="F175" s="3011">
        <v>70.760000000000005</v>
      </c>
      <c r="G175" s="3011">
        <v>7.9</v>
      </c>
      <c r="H175" s="3004" t="s">
        <v>1373</v>
      </c>
      <c r="I175" s="3007" t="s">
        <v>3530</v>
      </c>
      <c r="J175" s="3010">
        <f t="shared" si="14"/>
        <v>56156</v>
      </c>
      <c r="K175" s="3007" t="str">
        <f t="shared" si="15"/>
        <v>12层</v>
      </c>
      <c r="L175" s="3007" t="str">
        <f t="shared" si="17"/>
        <v>9层</v>
      </c>
      <c r="N175" s="3002">
        <f t="shared" ca="1" si="13"/>
        <v>660474</v>
      </c>
    </row>
    <row r="176" spans="1:14" ht="24">
      <c r="A176" s="3007">
        <v>173</v>
      </c>
      <c r="B176" s="3007" t="s">
        <v>3232</v>
      </c>
      <c r="C176" s="3004" t="s">
        <v>3527</v>
      </c>
      <c r="D176" s="3007" t="s">
        <v>3799</v>
      </c>
      <c r="E176" s="3008" t="s">
        <v>3800</v>
      </c>
      <c r="F176" s="3011">
        <v>71.180000000000007</v>
      </c>
      <c r="G176" s="3011">
        <v>7.94</v>
      </c>
      <c r="H176" s="3004" t="s">
        <v>1373</v>
      </c>
      <c r="I176" s="3007" t="s">
        <v>3530</v>
      </c>
      <c r="J176" s="3010">
        <f t="shared" si="14"/>
        <v>56156</v>
      </c>
      <c r="K176" s="3007" t="str">
        <f t="shared" si="15"/>
        <v>12层</v>
      </c>
      <c r="L176" s="3007" t="str">
        <f t="shared" si="17"/>
        <v>9层</v>
      </c>
      <c r="N176" s="3002">
        <f t="shared" ca="1" si="13"/>
        <v>664394</v>
      </c>
    </row>
    <row r="177" spans="1:14" ht="24">
      <c r="A177" s="3007">
        <v>174</v>
      </c>
      <c r="B177" s="3007" t="s">
        <v>3233</v>
      </c>
      <c r="C177" s="3004" t="s">
        <v>3527</v>
      </c>
      <c r="D177" s="3007" t="s">
        <v>3801</v>
      </c>
      <c r="E177" s="3008" t="s">
        <v>3802</v>
      </c>
      <c r="F177" s="3011">
        <v>52</v>
      </c>
      <c r="G177" s="3011">
        <v>5.8</v>
      </c>
      <c r="H177" s="3004" t="s">
        <v>1373</v>
      </c>
      <c r="I177" s="3007" t="s">
        <v>3530</v>
      </c>
      <c r="J177" s="3010">
        <f t="shared" si="14"/>
        <v>56156</v>
      </c>
      <c r="K177" s="3007" t="str">
        <f t="shared" si="15"/>
        <v>12层</v>
      </c>
      <c r="L177" s="3007" t="str">
        <f t="shared" si="17"/>
        <v>9层</v>
      </c>
      <c r="N177" s="3002">
        <f t="shared" ca="1" si="13"/>
        <v>485368</v>
      </c>
    </row>
    <row r="178" spans="1:14" ht="24">
      <c r="A178" s="3007">
        <v>175</v>
      </c>
      <c r="B178" s="3007" t="s">
        <v>3234</v>
      </c>
      <c r="C178" s="3004" t="s">
        <v>3527</v>
      </c>
      <c r="D178" s="3007" t="s">
        <v>3803</v>
      </c>
      <c r="E178" s="3008" t="s">
        <v>3804</v>
      </c>
      <c r="F178" s="3011">
        <v>52.07</v>
      </c>
      <c r="G178" s="3011">
        <v>5.81</v>
      </c>
      <c r="H178" s="3004" t="s">
        <v>1373</v>
      </c>
      <c r="I178" s="3007" t="s">
        <v>3530</v>
      </c>
      <c r="J178" s="3010">
        <f t="shared" si="14"/>
        <v>56156</v>
      </c>
      <c r="K178" s="3007" t="str">
        <f t="shared" si="15"/>
        <v>12层</v>
      </c>
      <c r="L178" s="3007" t="str">
        <f t="shared" si="17"/>
        <v>9层</v>
      </c>
      <c r="N178" s="3002">
        <f t="shared" ca="1" si="13"/>
        <v>486021</v>
      </c>
    </row>
    <row r="179" spans="1:14" ht="24">
      <c r="A179" s="3007">
        <v>176</v>
      </c>
      <c r="B179" s="3007" t="s">
        <v>3235</v>
      </c>
      <c r="C179" s="3004" t="s">
        <v>3527</v>
      </c>
      <c r="D179" s="3007" t="s">
        <v>3805</v>
      </c>
      <c r="E179" s="3008" t="s">
        <v>3806</v>
      </c>
      <c r="F179" s="3011">
        <v>52.04</v>
      </c>
      <c r="G179" s="3011">
        <v>5.81</v>
      </c>
      <c r="H179" s="3004" t="s">
        <v>1373</v>
      </c>
      <c r="I179" s="3007" t="s">
        <v>3530</v>
      </c>
      <c r="J179" s="3010">
        <f t="shared" si="14"/>
        <v>56156</v>
      </c>
      <c r="K179" s="3007" t="str">
        <f t="shared" si="15"/>
        <v>12层</v>
      </c>
      <c r="L179" s="3007" t="str">
        <f t="shared" si="17"/>
        <v>9层</v>
      </c>
      <c r="N179" s="3002">
        <f t="shared" ca="1" si="13"/>
        <v>485741</v>
      </c>
    </row>
    <row r="180" spans="1:14" ht="24">
      <c r="A180" s="3007">
        <v>177</v>
      </c>
      <c r="B180" s="3007" t="s">
        <v>3236</v>
      </c>
      <c r="C180" s="3004" t="s">
        <v>3527</v>
      </c>
      <c r="D180" s="3007" t="s">
        <v>3807</v>
      </c>
      <c r="E180" s="3008" t="s">
        <v>3808</v>
      </c>
      <c r="F180" s="3011">
        <v>52.71</v>
      </c>
      <c r="G180" s="3011">
        <v>5.88</v>
      </c>
      <c r="H180" s="3004" t="s">
        <v>1373</v>
      </c>
      <c r="I180" s="3007" t="s">
        <v>3530</v>
      </c>
      <c r="J180" s="3010">
        <f t="shared" si="14"/>
        <v>56156</v>
      </c>
      <c r="K180" s="3007" t="str">
        <f t="shared" si="15"/>
        <v>12层</v>
      </c>
      <c r="L180" s="3007" t="str">
        <f t="shared" si="17"/>
        <v>9层</v>
      </c>
      <c r="N180" s="3002">
        <f t="shared" ca="1" si="13"/>
        <v>491995</v>
      </c>
    </row>
    <row r="181" spans="1:14" ht="24">
      <c r="A181" s="3007">
        <v>178</v>
      </c>
      <c r="B181" s="3007" t="s">
        <v>3237</v>
      </c>
      <c r="C181" s="3004" t="s">
        <v>3527</v>
      </c>
      <c r="D181" s="3007" t="s">
        <v>3809</v>
      </c>
      <c r="E181" s="3008" t="s">
        <v>3810</v>
      </c>
      <c r="F181" s="3011">
        <v>60.92</v>
      </c>
      <c r="G181" s="3011">
        <v>6.8</v>
      </c>
      <c r="H181" s="3004" t="s">
        <v>1373</v>
      </c>
      <c r="I181" s="3007" t="s">
        <v>3530</v>
      </c>
      <c r="J181" s="3010">
        <f t="shared" si="14"/>
        <v>56156</v>
      </c>
      <c r="K181" s="3007" t="str">
        <f t="shared" si="15"/>
        <v>12层</v>
      </c>
      <c r="L181" s="3007" t="str">
        <f t="shared" si="17"/>
        <v>9层</v>
      </c>
      <c r="N181" s="3002">
        <f t="shared" ca="1" si="13"/>
        <v>568627</v>
      </c>
    </row>
    <row r="182" spans="1:14" ht="24">
      <c r="A182" s="3007">
        <v>179</v>
      </c>
      <c r="B182" s="3007" t="s">
        <v>3238</v>
      </c>
      <c r="C182" s="3004" t="s">
        <v>3527</v>
      </c>
      <c r="D182" s="3007" t="s">
        <v>3811</v>
      </c>
      <c r="E182" s="3008" t="s">
        <v>3812</v>
      </c>
      <c r="F182" s="3011">
        <v>65.47</v>
      </c>
      <c r="G182" s="3011">
        <v>7.31</v>
      </c>
      <c r="H182" s="3004" t="s">
        <v>1373</v>
      </c>
      <c r="I182" s="3007" t="s">
        <v>3530</v>
      </c>
      <c r="J182" s="3010">
        <f t="shared" si="14"/>
        <v>56156</v>
      </c>
      <c r="K182" s="3007" t="str">
        <f t="shared" si="15"/>
        <v>12层</v>
      </c>
      <c r="L182" s="3007" t="str">
        <f t="shared" si="17"/>
        <v>9层</v>
      </c>
      <c r="N182" s="3002">
        <f t="shared" ca="1" si="13"/>
        <v>611097</v>
      </c>
    </row>
    <row r="183" spans="1:14" ht="24">
      <c r="A183" s="3007">
        <v>180</v>
      </c>
      <c r="B183" s="3007" t="s">
        <v>3239</v>
      </c>
      <c r="C183" s="3004" t="s">
        <v>3527</v>
      </c>
      <c r="D183" s="3007" t="s">
        <v>3813</v>
      </c>
      <c r="E183" s="3008" t="s">
        <v>3814</v>
      </c>
      <c r="F183" s="3011">
        <v>60.33</v>
      </c>
      <c r="G183" s="3011">
        <v>6.73</v>
      </c>
      <c r="H183" s="3004" t="s">
        <v>1373</v>
      </c>
      <c r="I183" s="3007" t="s">
        <v>3530</v>
      </c>
      <c r="J183" s="3010">
        <f t="shared" si="14"/>
        <v>56156</v>
      </c>
      <c r="K183" s="3007" t="str">
        <f t="shared" si="15"/>
        <v>12层</v>
      </c>
      <c r="L183" s="3007" t="str">
        <f t="shared" si="17"/>
        <v>9层</v>
      </c>
      <c r="N183" s="3002">
        <f t="shared" ca="1" si="13"/>
        <v>563120</v>
      </c>
    </row>
    <row r="184" spans="1:14" ht="24">
      <c r="A184" s="3007">
        <v>181</v>
      </c>
      <c r="B184" s="3007" t="s">
        <v>3240</v>
      </c>
      <c r="C184" s="3004" t="s">
        <v>3527</v>
      </c>
      <c r="D184" s="3007" t="s">
        <v>3815</v>
      </c>
      <c r="E184" s="3008" t="s">
        <v>3816</v>
      </c>
      <c r="F184" s="3011">
        <v>52.78</v>
      </c>
      <c r="G184" s="3011">
        <v>5.89</v>
      </c>
      <c r="H184" s="3004" t="s">
        <v>1373</v>
      </c>
      <c r="I184" s="3007" t="s">
        <v>3530</v>
      </c>
      <c r="J184" s="3010">
        <f t="shared" si="14"/>
        <v>56156</v>
      </c>
      <c r="K184" s="3007" t="str">
        <f t="shared" si="15"/>
        <v>12层</v>
      </c>
      <c r="L184" s="3007" t="str">
        <f t="shared" si="17"/>
        <v>9层</v>
      </c>
      <c r="N184" s="3002">
        <f t="shared" ca="1" si="13"/>
        <v>492649</v>
      </c>
    </row>
    <row r="185" spans="1:14" ht="24">
      <c r="A185" s="3007">
        <v>182</v>
      </c>
      <c r="B185" s="3007" t="s">
        <v>3241</v>
      </c>
      <c r="C185" s="3004" t="s">
        <v>3527</v>
      </c>
      <c r="D185" s="3007" t="s">
        <v>3817</v>
      </c>
      <c r="E185" s="3008" t="s">
        <v>3818</v>
      </c>
      <c r="F185" s="3011">
        <v>52.72</v>
      </c>
      <c r="G185" s="3011">
        <v>5.88</v>
      </c>
      <c r="H185" s="3004" t="s">
        <v>1373</v>
      </c>
      <c r="I185" s="3007" t="s">
        <v>3530</v>
      </c>
      <c r="J185" s="3010">
        <f t="shared" si="14"/>
        <v>56156</v>
      </c>
      <c r="K185" s="3007" t="str">
        <f t="shared" si="15"/>
        <v>12层</v>
      </c>
      <c r="L185" s="3007" t="str">
        <f t="shared" si="17"/>
        <v>9层</v>
      </c>
      <c r="N185" s="3002">
        <f t="shared" ca="1" si="13"/>
        <v>492088</v>
      </c>
    </row>
    <row r="186" spans="1:14" ht="24">
      <c r="A186" s="3007">
        <v>183</v>
      </c>
      <c r="B186" s="3007" t="s">
        <v>3242</v>
      </c>
      <c r="C186" s="3004" t="s">
        <v>3527</v>
      </c>
      <c r="D186" s="3007" t="s">
        <v>3819</v>
      </c>
      <c r="E186" s="3008" t="s">
        <v>3820</v>
      </c>
      <c r="F186" s="3011">
        <v>52.72</v>
      </c>
      <c r="G186" s="3011">
        <v>5.88</v>
      </c>
      <c r="H186" s="3004" t="s">
        <v>1373</v>
      </c>
      <c r="I186" s="3007" t="s">
        <v>3530</v>
      </c>
      <c r="J186" s="3010">
        <f t="shared" si="14"/>
        <v>56156</v>
      </c>
      <c r="K186" s="3007" t="str">
        <f t="shared" si="15"/>
        <v>12层</v>
      </c>
      <c r="L186" s="3007" t="str">
        <f t="shared" si="17"/>
        <v>9层</v>
      </c>
      <c r="N186" s="3002">
        <f t="shared" ca="1" si="13"/>
        <v>492088</v>
      </c>
    </row>
    <row r="187" spans="1:14" ht="24">
      <c r="A187" s="3007">
        <v>184</v>
      </c>
      <c r="B187" s="3007" t="s">
        <v>3243</v>
      </c>
      <c r="C187" s="3004" t="s">
        <v>3527</v>
      </c>
      <c r="D187" s="3007" t="s">
        <v>3821</v>
      </c>
      <c r="E187" s="3008" t="s">
        <v>3822</v>
      </c>
      <c r="F187" s="3011">
        <v>52.69</v>
      </c>
      <c r="G187" s="3011">
        <v>5.88</v>
      </c>
      <c r="H187" s="3004" t="s">
        <v>1373</v>
      </c>
      <c r="I187" s="3007" t="s">
        <v>3530</v>
      </c>
      <c r="J187" s="3010">
        <f t="shared" si="14"/>
        <v>56156</v>
      </c>
      <c r="K187" s="3007" t="str">
        <f t="shared" si="15"/>
        <v>12层</v>
      </c>
      <c r="L187" s="3007" t="str">
        <f t="shared" si="17"/>
        <v>9层</v>
      </c>
      <c r="N187" s="3002">
        <f t="shared" ca="1" si="13"/>
        <v>491808</v>
      </c>
    </row>
    <row r="188" spans="1:14" ht="24">
      <c r="A188" s="3007">
        <v>185</v>
      </c>
      <c r="B188" s="3007" t="s">
        <v>3244</v>
      </c>
      <c r="C188" s="3004" t="s">
        <v>3527</v>
      </c>
      <c r="D188" s="3007" t="s">
        <v>3823</v>
      </c>
      <c r="E188" s="3008" t="s">
        <v>3824</v>
      </c>
      <c r="F188" s="3011">
        <v>72.55</v>
      </c>
      <c r="G188" s="3011">
        <v>8.1</v>
      </c>
      <c r="H188" s="3004" t="s">
        <v>1373</v>
      </c>
      <c r="I188" s="3007" t="s">
        <v>3530</v>
      </c>
      <c r="J188" s="3010">
        <f t="shared" si="14"/>
        <v>56156</v>
      </c>
      <c r="K188" s="3007" t="str">
        <f t="shared" si="15"/>
        <v>12层</v>
      </c>
      <c r="L188" s="3007" t="str">
        <f t="shared" si="17"/>
        <v>9层</v>
      </c>
      <c r="N188" s="3002">
        <f t="shared" ca="1" si="13"/>
        <v>677182</v>
      </c>
    </row>
    <row r="189" spans="1:14"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4"/>
        <v>56156</v>
      </c>
      <c r="K189" s="3007" t="str">
        <f t="shared" si="15"/>
        <v>12层</v>
      </c>
      <c r="L189" s="3007" t="str">
        <f t="shared" si="17"/>
        <v>9层</v>
      </c>
      <c r="N189" s="3002">
        <f t="shared" ca="1" si="13"/>
        <v>671395</v>
      </c>
    </row>
    <row r="190" spans="1:14" ht="24">
      <c r="A190" s="3007">
        <v>187</v>
      </c>
      <c r="B190" s="3007" t="s">
        <v>3246</v>
      </c>
      <c r="C190" s="3004" t="s">
        <v>3527</v>
      </c>
      <c r="D190" s="3007" t="s">
        <v>3827</v>
      </c>
      <c r="E190" s="3008" t="s">
        <v>3828</v>
      </c>
      <c r="F190" s="3011">
        <v>52.69</v>
      </c>
      <c r="G190" s="3011">
        <v>5.88</v>
      </c>
      <c r="H190" s="3004" t="s">
        <v>1373</v>
      </c>
      <c r="I190" s="3007" t="s">
        <v>3530</v>
      </c>
      <c r="J190" s="3010">
        <f t="shared" si="14"/>
        <v>56156</v>
      </c>
      <c r="K190" s="3007" t="str">
        <f t="shared" si="15"/>
        <v>12层</v>
      </c>
      <c r="L190" s="3007" t="str">
        <f t="shared" si="17"/>
        <v>9层</v>
      </c>
      <c r="N190" s="3002">
        <f t="shared" ca="1" si="13"/>
        <v>491808</v>
      </c>
    </row>
    <row r="191" spans="1:14" ht="24">
      <c r="A191" s="3007">
        <v>188</v>
      </c>
      <c r="B191" s="3007" t="s">
        <v>3247</v>
      </c>
      <c r="C191" s="3004" t="s">
        <v>3527</v>
      </c>
      <c r="D191" s="3007" t="s">
        <v>3829</v>
      </c>
      <c r="E191" s="3008" t="s">
        <v>3830</v>
      </c>
      <c r="F191" s="3011">
        <v>52.72</v>
      </c>
      <c r="G191" s="3011">
        <v>5.88</v>
      </c>
      <c r="H191" s="3004" t="s">
        <v>1373</v>
      </c>
      <c r="I191" s="3007" t="s">
        <v>3530</v>
      </c>
      <c r="J191" s="3010">
        <f t="shared" si="14"/>
        <v>56156</v>
      </c>
      <c r="K191" s="3007" t="str">
        <f t="shared" si="15"/>
        <v>12层</v>
      </c>
      <c r="L191" s="3007" t="str">
        <f t="shared" si="17"/>
        <v>9层</v>
      </c>
      <c r="N191" s="3002">
        <f t="shared" ca="1" si="13"/>
        <v>492088</v>
      </c>
    </row>
    <row r="192" spans="1:14" ht="24">
      <c r="A192" s="3007">
        <v>189</v>
      </c>
      <c r="B192" s="3007" t="s">
        <v>3248</v>
      </c>
      <c r="C192" s="3004" t="s">
        <v>3527</v>
      </c>
      <c r="D192" s="3007" t="s">
        <v>3831</v>
      </c>
      <c r="E192" s="3008" t="s">
        <v>3832</v>
      </c>
      <c r="F192" s="3011">
        <v>52.06</v>
      </c>
      <c r="G192" s="3011">
        <v>5.81</v>
      </c>
      <c r="H192" s="3004" t="s">
        <v>1373</v>
      </c>
      <c r="I192" s="3007" t="s">
        <v>3530</v>
      </c>
      <c r="J192" s="3010">
        <f t="shared" si="14"/>
        <v>56156</v>
      </c>
      <c r="K192" s="3007" t="str">
        <f t="shared" si="15"/>
        <v>12层</v>
      </c>
      <c r="L192" s="3007" t="str">
        <f t="shared" si="17"/>
        <v>9层</v>
      </c>
      <c r="N192" s="3002">
        <f t="shared" ca="1" si="13"/>
        <v>485928</v>
      </c>
    </row>
    <row r="193" spans="1:14" ht="24">
      <c r="A193" s="3007">
        <v>190</v>
      </c>
      <c r="B193" s="3007" t="s">
        <v>3249</v>
      </c>
      <c r="C193" s="3004" t="s">
        <v>3527</v>
      </c>
      <c r="D193" s="3007" t="s">
        <v>3833</v>
      </c>
      <c r="E193" s="3008" t="s">
        <v>3834</v>
      </c>
      <c r="F193" s="3011">
        <v>64.349999999999994</v>
      </c>
      <c r="G193" s="3011">
        <v>7.18</v>
      </c>
      <c r="H193" s="3004" t="s">
        <v>1373</v>
      </c>
      <c r="I193" s="3007" t="s">
        <v>3530</v>
      </c>
      <c r="J193" s="3010">
        <f t="shared" si="14"/>
        <v>56156</v>
      </c>
      <c r="K193" s="3007" t="str">
        <f t="shared" si="15"/>
        <v>12层</v>
      </c>
      <c r="L193" s="3007" t="str">
        <f t="shared" si="17"/>
        <v>9层</v>
      </c>
      <c r="N193" s="3002">
        <f t="shared" ca="1" si="13"/>
        <v>600643</v>
      </c>
    </row>
    <row r="194" spans="1:14" ht="24">
      <c r="A194" s="3007">
        <v>191</v>
      </c>
      <c r="B194" s="3007" t="s">
        <v>3250</v>
      </c>
      <c r="C194" s="3004" t="s">
        <v>3527</v>
      </c>
      <c r="D194" s="3007" t="s">
        <v>3835</v>
      </c>
      <c r="E194" s="3008" t="s">
        <v>3836</v>
      </c>
      <c r="F194" s="3011">
        <v>50.65</v>
      </c>
      <c r="G194" s="3011">
        <v>5.65</v>
      </c>
      <c r="H194" s="3004" t="s">
        <v>1373</v>
      </c>
      <c r="I194" s="3007" t="s">
        <v>3530</v>
      </c>
      <c r="J194" s="3010">
        <f t="shared" si="14"/>
        <v>56156</v>
      </c>
      <c r="K194" s="3007" t="str">
        <f t="shared" si="15"/>
        <v>12层</v>
      </c>
      <c r="L194" s="3007" t="s">
        <v>3837</v>
      </c>
      <c r="N194" s="3002">
        <f t="shared" ca="1" si="13"/>
        <v>472767</v>
      </c>
    </row>
    <row r="195" spans="1:14" ht="24">
      <c r="A195" s="3007">
        <v>192</v>
      </c>
      <c r="B195" s="3007" t="s">
        <v>3251</v>
      </c>
      <c r="C195" s="3004" t="s">
        <v>3527</v>
      </c>
      <c r="D195" s="3007" t="s">
        <v>3838</v>
      </c>
      <c r="E195" s="3008" t="s">
        <v>3839</v>
      </c>
      <c r="F195" s="3011">
        <v>52.4</v>
      </c>
      <c r="G195" s="3011">
        <v>5.85</v>
      </c>
      <c r="H195" s="3004" t="s">
        <v>1373</v>
      </c>
      <c r="I195" s="3007" t="s">
        <v>3530</v>
      </c>
      <c r="J195" s="3010">
        <f t="shared" si="14"/>
        <v>56156</v>
      </c>
      <c r="K195" s="3007" t="str">
        <f t="shared" si="15"/>
        <v>12层</v>
      </c>
      <c r="L195" s="3007" t="str">
        <f>$L$194</f>
        <v>10层</v>
      </c>
      <c r="N195" s="3002">
        <f t="shared" ca="1" si="13"/>
        <v>489102</v>
      </c>
    </row>
    <row r="196" spans="1:14" ht="24">
      <c r="A196" s="3007">
        <v>193</v>
      </c>
      <c r="B196" s="3007" t="s">
        <v>3252</v>
      </c>
      <c r="C196" s="3004" t="s">
        <v>3840</v>
      </c>
      <c r="D196" s="3007" t="s">
        <v>3841</v>
      </c>
      <c r="E196" s="3008" t="s">
        <v>3842</v>
      </c>
      <c r="F196" s="3011">
        <v>52.39</v>
      </c>
      <c r="G196" s="3011">
        <v>5.85</v>
      </c>
      <c r="H196" s="3004" t="s">
        <v>1373</v>
      </c>
      <c r="I196" s="3007" t="s">
        <v>3843</v>
      </c>
      <c r="J196" s="3010">
        <f t="shared" si="14"/>
        <v>56156</v>
      </c>
      <c r="K196" s="3007" t="str">
        <f t="shared" si="15"/>
        <v>12层</v>
      </c>
      <c r="L196" s="3007" t="str">
        <f t="shared" ref="L196:L216" si="18">$L$194</f>
        <v>10层</v>
      </c>
      <c r="N196" s="3002">
        <f t="shared" ca="1" si="13"/>
        <v>489008</v>
      </c>
    </row>
    <row r="197" spans="1:14" ht="24">
      <c r="A197" s="3007">
        <v>194</v>
      </c>
      <c r="B197" s="3007" t="s">
        <v>3253</v>
      </c>
      <c r="C197" s="3004" t="s">
        <v>3527</v>
      </c>
      <c r="D197" s="3007" t="s">
        <v>3844</v>
      </c>
      <c r="E197" s="3008" t="s">
        <v>3845</v>
      </c>
      <c r="F197" s="3011">
        <v>52.4</v>
      </c>
      <c r="G197" s="3011">
        <v>5.85</v>
      </c>
      <c r="H197" s="3004" t="s">
        <v>1373</v>
      </c>
      <c r="I197" s="3007" t="s">
        <v>3530</v>
      </c>
      <c r="J197" s="3010">
        <f t="shared" si="14"/>
        <v>56156</v>
      </c>
      <c r="K197" s="3007" t="str">
        <f t="shared" si="15"/>
        <v>12层</v>
      </c>
      <c r="L197" s="3007" t="str">
        <f t="shared" si="18"/>
        <v>10层</v>
      </c>
      <c r="N197" s="3002">
        <f t="shared" ref="N197:N228" ca="1" si="19">ROUND(F197*$M$4,0)</f>
        <v>489102</v>
      </c>
    </row>
    <row r="198" spans="1:14"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0">$J$4</f>
        <v>56156</v>
      </c>
      <c r="K198" s="3007" t="str">
        <f t="shared" ref="K198:K228" si="21">$K$4</f>
        <v>12层</v>
      </c>
      <c r="L198" s="3007" t="str">
        <f t="shared" si="18"/>
        <v>10层</v>
      </c>
      <c r="N198" s="3002">
        <f t="shared" ca="1" si="19"/>
        <v>660474</v>
      </c>
    </row>
    <row r="199" spans="1:14" ht="24">
      <c r="A199" s="3007">
        <v>196</v>
      </c>
      <c r="B199" s="3007" t="s">
        <v>3255</v>
      </c>
      <c r="C199" s="3004" t="s">
        <v>3527</v>
      </c>
      <c r="D199" s="3007" t="s">
        <v>3848</v>
      </c>
      <c r="E199" s="3008" t="s">
        <v>3849</v>
      </c>
      <c r="F199" s="3011">
        <v>71.180000000000007</v>
      </c>
      <c r="G199" s="3011">
        <v>7.94</v>
      </c>
      <c r="H199" s="3004" t="s">
        <v>1373</v>
      </c>
      <c r="I199" s="3007" t="s">
        <v>3530</v>
      </c>
      <c r="J199" s="3010">
        <f t="shared" si="20"/>
        <v>56156</v>
      </c>
      <c r="K199" s="3007" t="str">
        <f t="shared" si="21"/>
        <v>12层</v>
      </c>
      <c r="L199" s="3007" t="str">
        <f t="shared" si="18"/>
        <v>10层</v>
      </c>
      <c r="N199" s="3002">
        <f t="shared" ca="1" si="19"/>
        <v>664394</v>
      </c>
    </row>
    <row r="200" spans="1:14" ht="24">
      <c r="A200" s="3007">
        <v>197</v>
      </c>
      <c r="B200" s="3007" t="s">
        <v>3256</v>
      </c>
      <c r="C200" s="3004" t="s">
        <v>3527</v>
      </c>
      <c r="D200" s="3007" t="s">
        <v>3850</v>
      </c>
      <c r="E200" s="3008" t="s">
        <v>3851</v>
      </c>
      <c r="F200" s="3011">
        <v>52</v>
      </c>
      <c r="G200" s="3011">
        <v>5.8</v>
      </c>
      <c r="H200" s="3004" t="s">
        <v>1373</v>
      </c>
      <c r="I200" s="3007" t="s">
        <v>3530</v>
      </c>
      <c r="J200" s="3010">
        <f t="shared" si="20"/>
        <v>56156</v>
      </c>
      <c r="K200" s="3007" t="str">
        <f t="shared" si="21"/>
        <v>12层</v>
      </c>
      <c r="L200" s="3007" t="str">
        <f t="shared" si="18"/>
        <v>10层</v>
      </c>
      <c r="N200" s="3002">
        <f t="shared" ca="1" si="19"/>
        <v>485368</v>
      </c>
    </row>
    <row r="201" spans="1:14" ht="24">
      <c r="A201" s="3007">
        <v>198</v>
      </c>
      <c r="B201" s="3007" t="s">
        <v>3257</v>
      </c>
      <c r="C201" s="3004" t="s">
        <v>3527</v>
      </c>
      <c r="D201" s="3007" t="s">
        <v>3852</v>
      </c>
      <c r="E201" s="3008" t="s">
        <v>3853</v>
      </c>
      <c r="F201" s="3011">
        <v>52.07</v>
      </c>
      <c r="G201" s="3011">
        <v>5.81</v>
      </c>
      <c r="H201" s="3004" t="s">
        <v>1373</v>
      </c>
      <c r="I201" s="3007" t="s">
        <v>3530</v>
      </c>
      <c r="J201" s="3010">
        <f t="shared" si="20"/>
        <v>56156</v>
      </c>
      <c r="K201" s="3007" t="str">
        <f t="shared" si="21"/>
        <v>12层</v>
      </c>
      <c r="L201" s="3007" t="str">
        <f t="shared" si="18"/>
        <v>10层</v>
      </c>
      <c r="N201" s="3002">
        <f t="shared" ca="1" si="19"/>
        <v>486021</v>
      </c>
    </row>
    <row r="202" spans="1:14" ht="24">
      <c r="A202" s="3007">
        <v>199</v>
      </c>
      <c r="B202" s="3007" t="s">
        <v>3258</v>
      </c>
      <c r="C202" s="3004" t="s">
        <v>3527</v>
      </c>
      <c r="D202" s="3007" t="s">
        <v>3854</v>
      </c>
      <c r="E202" s="3008" t="s">
        <v>3855</v>
      </c>
      <c r="F202" s="3011">
        <v>52.04</v>
      </c>
      <c r="G202" s="3011">
        <v>5.81</v>
      </c>
      <c r="H202" s="3004" t="s">
        <v>1373</v>
      </c>
      <c r="I202" s="3007" t="s">
        <v>3530</v>
      </c>
      <c r="J202" s="3010">
        <f t="shared" si="20"/>
        <v>56156</v>
      </c>
      <c r="K202" s="3007" t="str">
        <f t="shared" si="21"/>
        <v>12层</v>
      </c>
      <c r="L202" s="3007" t="str">
        <f t="shared" si="18"/>
        <v>10层</v>
      </c>
      <c r="N202" s="3002">
        <f t="shared" ca="1" si="19"/>
        <v>485741</v>
      </c>
    </row>
    <row r="203" spans="1:14" ht="24">
      <c r="A203" s="3007">
        <v>200</v>
      </c>
      <c r="B203" s="3007" t="s">
        <v>3259</v>
      </c>
      <c r="C203" s="3004" t="s">
        <v>3527</v>
      </c>
      <c r="D203" s="3007" t="s">
        <v>3856</v>
      </c>
      <c r="E203" s="3008" t="s">
        <v>3857</v>
      </c>
      <c r="F203" s="3011">
        <v>52.71</v>
      </c>
      <c r="G203" s="3011">
        <v>5.88</v>
      </c>
      <c r="H203" s="3004" t="s">
        <v>1373</v>
      </c>
      <c r="I203" s="3007" t="s">
        <v>3530</v>
      </c>
      <c r="J203" s="3010">
        <f t="shared" si="20"/>
        <v>56156</v>
      </c>
      <c r="K203" s="3007" t="str">
        <f t="shared" si="21"/>
        <v>12层</v>
      </c>
      <c r="L203" s="3007" t="str">
        <f t="shared" si="18"/>
        <v>10层</v>
      </c>
      <c r="N203" s="3002">
        <f t="shared" ca="1" si="19"/>
        <v>491995</v>
      </c>
    </row>
    <row r="204" spans="1:14" ht="24">
      <c r="A204" s="3007">
        <v>201</v>
      </c>
      <c r="B204" s="3007" t="s">
        <v>3260</v>
      </c>
      <c r="C204" s="3004" t="s">
        <v>3527</v>
      </c>
      <c r="D204" s="3007" t="s">
        <v>3858</v>
      </c>
      <c r="E204" s="3008" t="s">
        <v>3859</v>
      </c>
      <c r="F204" s="3011">
        <v>60.92</v>
      </c>
      <c r="G204" s="3011">
        <v>6.8</v>
      </c>
      <c r="H204" s="3004" t="s">
        <v>1373</v>
      </c>
      <c r="I204" s="3007" t="s">
        <v>3530</v>
      </c>
      <c r="J204" s="3010">
        <f t="shared" si="20"/>
        <v>56156</v>
      </c>
      <c r="K204" s="3007" t="str">
        <f t="shared" si="21"/>
        <v>12层</v>
      </c>
      <c r="L204" s="3007" t="str">
        <f t="shared" si="18"/>
        <v>10层</v>
      </c>
      <c r="N204" s="3002">
        <f t="shared" ca="1" si="19"/>
        <v>568627</v>
      </c>
    </row>
    <row r="205" spans="1:14" ht="24">
      <c r="A205" s="3007">
        <v>202</v>
      </c>
      <c r="B205" s="3007" t="s">
        <v>3261</v>
      </c>
      <c r="C205" s="3004" t="s">
        <v>3527</v>
      </c>
      <c r="D205" s="3007" t="s">
        <v>3860</v>
      </c>
      <c r="E205" s="3008" t="s">
        <v>3861</v>
      </c>
      <c r="F205" s="3011">
        <v>65.47</v>
      </c>
      <c r="G205" s="3011">
        <v>7.31</v>
      </c>
      <c r="H205" s="3004" t="s">
        <v>1373</v>
      </c>
      <c r="I205" s="3007" t="s">
        <v>3530</v>
      </c>
      <c r="J205" s="3010">
        <f t="shared" si="20"/>
        <v>56156</v>
      </c>
      <c r="K205" s="3007" t="str">
        <f t="shared" si="21"/>
        <v>12层</v>
      </c>
      <c r="L205" s="3007" t="str">
        <f t="shared" si="18"/>
        <v>10层</v>
      </c>
      <c r="N205" s="3002">
        <f t="shared" ca="1" si="19"/>
        <v>611097</v>
      </c>
    </row>
    <row r="206" spans="1:14" ht="24">
      <c r="A206" s="3007">
        <v>203</v>
      </c>
      <c r="B206" s="3007" t="s">
        <v>3262</v>
      </c>
      <c r="C206" s="3004" t="s">
        <v>3527</v>
      </c>
      <c r="D206" s="3007" t="s">
        <v>3862</v>
      </c>
      <c r="E206" s="3008" t="s">
        <v>3863</v>
      </c>
      <c r="F206" s="3011">
        <v>60.33</v>
      </c>
      <c r="G206" s="3011">
        <v>6.73</v>
      </c>
      <c r="H206" s="3004" t="s">
        <v>1373</v>
      </c>
      <c r="I206" s="3007" t="s">
        <v>3530</v>
      </c>
      <c r="J206" s="3010">
        <f t="shared" si="20"/>
        <v>56156</v>
      </c>
      <c r="K206" s="3007" t="str">
        <f t="shared" si="21"/>
        <v>12层</v>
      </c>
      <c r="L206" s="3007" t="str">
        <f t="shared" si="18"/>
        <v>10层</v>
      </c>
      <c r="N206" s="3002">
        <f t="shared" ca="1" si="19"/>
        <v>563120</v>
      </c>
    </row>
    <row r="207" spans="1:14" ht="24">
      <c r="A207" s="3007">
        <v>204</v>
      </c>
      <c r="B207" s="3007" t="s">
        <v>3263</v>
      </c>
      <c r="C207" s="3004" t="s">
        <v>3527</v>
      </c>
      <c r="D207" s="3007" t="s">
        <v>3864</v>
      </c>
      <c r="E207" s="3008" t="s">
        <v>3865</v>
      </c>
      <c r="F207" s="3011">
        <v>52.78</v>
      </c>
      <c r="G207" s="3011">
        <v>5.89</v>
      </c>
      <c r="H207" s="3004" t="s">
        <v>1373</v>
      </c>
      <c r="I207" s="3007" t="s">
        <v>3530</v>
      </c>
      <c r="J207" s="3010">
        <f t="shared" si="20"/>
        <v>56156</v>
      </c>
      <c r="K207" s="3007" t="str">
        <f t="shared" si="21"/>
        <v>12层</v>
      </c>
      <c r="L207" s="3007" t="str">
        <f t="shared" si="18"/>
        <v>10层</v>
      </c>
      <c r="N207" s="3002">
        <f t="shared" ca="1" si="19"/>
        <v>492649</v>
      </c>
    </row>
    <row r="208" spans="1:14" ht="24">
      <c r="A208" s="3007">
        <v>205</v>
      </c>
      <c r="B208" s="3007" t="s">
        <v>3264</v>
      </c>
      <c r="C208" s="3004" t="s">
        <v>3527</v>
      </c>
      <c r="D208" s="3007" t="s">
        <v>3866</v>
      </c>
      <c r="E208" s="3008" t="s">
        <v>3867</v>
      </c>
      <c r="F208" s="3011">
        <v>52.72</v>
      </c>
      <c r="G208" s="3011">
        <v>5.88</v>
      </c>
      <c r="H208" s="3004" t="s">
        <v>1373</v>
      </c>
      <c r="I208" s="3007" t="s">
        <v>3530</v>
      </c>
      <c r="J208" s="3010">
        <f t="shared" si="20"/>
        <v>56156</v>
      </c>
      <c r="K208" s="3007" t="str">
        <f t="shared" si="21"/>
        <v>12层</v>
      </c>
      <c r="L208" s="3007" t="str">
        <f t="shared" si="18"/>
        <v>10层</v>
      </c>
      <c r="N208" s="3002">
        <f t="shared" ca="1" si="19"/>
        <v>492088</v>
      </c>
    </row>
    <row r="209" spans="1:14" ht="24">
      <c r="A209" s="3007">
        <v>206</v>
      </c>
      <c r="B209" s="3007" t="s">
        <v>3265</v>
      </c>
      <c r="C209" s="3004" t="s">
        <v>3527</v>
      </c>
      <c r="D209" s="3007" t="s">
        <v>3868</v>
      </c>
      <c r="E209" s="3008" t="s">
        <v>3869</v>
      </c>
      <c r="F209" s="3011">
        <v>52.72</v>
      </c>
      <c r="G209" s="3011">
        <v>5.88</v>
      </c>
      <c r="H209" s="3004" t="s">
        <v>1373</v>
      </c>
      <c r="I209" s="3007" t="s">
        <v>3530</v>
      </c>
      <c r="J209" s="3010">
        <f t="shared" si="20"/>
        <v>56156</v>
      </c>
      <c r="K209" s="3007" t="str">
        <f t="shared" si="21"/>
        <v>12层</v>
      </c>
      <c r="L209" s="3007" t="str">
        <f t="shared" si="18"/>
        <v>10层</v>
      </c>
      <c r="N209" s="3002">
        <f t="shared" ca="1" si="19"/>
        <v>492088</v>
      </c>
    </row>
    <row r="210" spans="1:14" ht="24">
      <c r="A210" s="3007">
        <v>207</v>
      </c>
      <c r="B210" s="3007" t="s">
        <v>3266</v>
      </c>
      <c r="C210" s="3004" t="s">
        <v>3527</v>
      </c>
      <c r="D210" s="3007" t="s">
        <v>3870</v>
      </c>
      <c r="E210" s="3008" t="s">
        <v>3871</v>
      </c>
      <c r="F210" s="3011">
        <v>52.69</v>
      </c>
      <c r="G210" s="3011">
        <v>5.88</v>
      </c>
      <c r="H210" s="3004" t="s">
        <v>1373</v>
      </c>
      <c r="I210" s="3007" t="s">
        <v>3530</v>
      </c>
      <c r="J210" s="3010">
        <f t="shared" si="20"/>
        <v>56156</v>
      </c>
      <c r="K210" s="3007" t="str">
        <f t="shared" si="21"/>
        <v>12层</v>
      </c>
      <c r="L210" s="3007" t="str">
        <f t="shared" si="18"/>
        <v>10层</v>
      </c>
      <c r="N210" s="3002">
        <f t="shared" ca="1" si="19"/>
        <v>491808</v>
      </c>
    </row>
    <row r="211" spans="1:14" ht="24">
      <c r="A211" s="3007">
        <v>208</v>
      </c>
      <c r="B211" s="3007" t="s">
        <v>3267</v>
      </c>
      <c r="C211" s="3004" t="s">
        <v>3527</v>
      </c>
      <c r="D211" s="3007" t="s">
        <v>3872</v>
      </c>
      <c r="E211" s="3008" t="s">
        <v>3873</v>
      </c>
      <c r="F211" s="3011">
        <v>72.55</v>
      </c>
      <c r="G211" s="3011">
        <v>8.1</v>
      </c>
      <c r="H211" s="3004" t="s">
        <v>1373</v>
      </c>
      <c r="I211" s="3007" t="s">
        <v>3530</v>
      </c>
      <c r="J211" s="3010">
        <f t="shared" si="20"/>
        <v>56156</v>
      </c>
      <c r="K211" s="3007" t="str">
        <f t="shared" si="21"/>
        <v>12层</v>
      </c>
      <c r="L211" s="3007" t="str">
        <f t="shared" si="18"/>
        <v>10层</v>
      </c>
      <c r="N211" s="3002">
        <f t="shared" ca="1" si="19"/>
        <v>677182</v>
      </c>
    </row>
    <row r="212" spans="1:14"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0"/>
        <v>56156</v>
      </c>
      <c r="K212" s="3007" t="str">
        <f t="shared" si="21"/>
        <v>12层</v>
      </c>
      <c r="L212" s="3007" t="str">
        <f t="shared" si="18"/>
        <v>10层</v>
      </c>
      <c r="N212" s="3002">
        <f t="shared" ca="1" si="19"/>
        <v>671395</v>
      </c>
    </row>
    <row r="213" spans="1:14" ht="24">
      <c r="A213" s="3007">
        <v>210</v>
      </c>
      <c r="B213" s="3007" t="s">
        <v>3269</v>
      </c>
      <c r="C213" s="3004" t="s">
        <v>3527</v>
      </c>
      <c r="D213" s="3007" t="s">
        <v>3876</v>
      </c>
      <c r="E213" s="3008" t="s">
        <v>3877</v>
      </c>
      <c r="F213" s="3011">
        <v>52.69</v>
      </c>
      <c r="G213" s="3011">
        <v>5.88</v>
      </c>
      <c r="H213" s="3004" t="s">
        <v>1373</v>
      </c>
      <c r="I213" s="3007" t="s">
        <v>3843</v>
      </c>
      <c r="J213" s="3010">
        <f t="shared" si="20"/>
        <v>56156</v>
      </c>
      <c r="K213" s="3007" t="str">
        <f t="shared" si="21"/>
        <v>12层</v>
      </c>
      <c r="L213" s="3007" t="str">
        <f t="shared" si="18"/>
        <v>10层</v>
      </c>
      <c r="N213" s="3002">
        <f t="shared" ca="1" si="19"/>
        <v>491808</v>
      </c>
    </row>
    <row r="214" spans="1:14" ht="24">
      <c r="A214" s="3007">
        <v>211</v>
      </c>
      <c r="B214" s="3007" t="s">
        <v>3270</v>
      </c>
      <c r="C214" s="3004" t="s">
        <v>3840</v>
      </c>
      <c r="D214" s="3007" t="s">
        <v>3878</v>
      </c>
      <c r="E214" s="3008" t="s">
        <v>3879</v>
      </c>
      <c r="F214" s="3011">
        <v>52.72</v>
      </c>
      <c r="G214" s="3011">
        <v>5.88</v>
      </c>
      <c r="H214" s="3004" t="s">
        <v>1373</v>
      </c>
      <c r="I214" s="3007" t="s">
        <v>3843</v>
      </c>
      <c r="J214" s="3010">
        <f t="shared" si="20"/>
        <v>56156</v>
      </c>
      <c r="K214" s="3007" t="str">
        <f t="shared" si="21"/>
        <v>12层</v>
      </c>
      <c r="L214" s="3007" t="str">
        <f t="shared" si="18"/>
        <v>10层</v>
      </c>
      <c r="N214" s="3002">
        <f t="shared" ca="1" si="19"/>
        <v>492088</v>
      </c>
    </row>
    <row r="215" spans="1:14" ht="24">
      <c r="A215" s="3007">
        <v>212</v>
      </c>
      <c r="B215" s="3007" t="s">
        <v>3271</v>
      </c>
      <c r="C215" s="3004" t="s">
        <v>3840</v>
      </c>
      <c r="D215" s="3007" t="s">
        <v>3880</v>
      </c>
      <c r="E215" s="3008" t="s">
        <v>3881</v>
      </c>
      <c r="F215" s="3011">
        <v>52.06</v>
      </c>
      <c r="G215" s="3011">
        <v>5.81</v>
      </c>
      <c r="H215" s="3004" t="s">
        <v>1373</v>
      </c>
      <c r="I215" s="3007" t="s">
        <v>3843</v>
      </c>
      <c r="J215" s="3010">
        <f t="shared" si="20"/>
        <v>56156</v>
      </c>
      <c r="K215" s="3007" t="str">
        <f t="shared" si="21"/>
        <v>12层</v>
      </c>
      <c r="L215" s="3007" t="str">
        <f t="shared" si="18"/>
        <v>10层</v>
      </c>
      <c r="N215" s="3002">
        <f t="shared" ca="1" si="19"/>
        <v>485928</v>
      </c>
    </row>
    <row r="216" spans="1:14" ht="24">
      <c r="A216" s="3007">
        <v>213</v>
      </c>
      <c r="B216" s="3007" t="s">
        <v>3272</v>
      </c>
      <c r="C216" s="3004" t="s">
        <v>3840</v>
      </c>
      <c r="D216" s="3007" t="s">
        <v>3882</v>
      </c>
      <c r="E216" s="3008" t="s">
        <v>3883</v>
      </c>
      <c r="F216" s="3011">
        <v>64.349999999999994</v>
      </c>
      <c r="G216" s="3011">
        <v>7.18</v>
      </c>
      <c r="H216" s="3004" t="s">
        <v>1373</v>
      </c>
      <c r="I216" s="3007" t="s">
        <v>3843</v>
      </c>
      <c r="J216" s="3010">
        <f t="shared" si="20"/>
        <v>56156</v>
      </c>
      <c r="K216" s="3007" t="str">
        <f t="shared" si="21"/>
        <v>12层</v>
      </c>
      <c r="L216" s="3007" t="str">
        <f t="shared" si="18"/>
        <v>10层</v>
      </c>
      <c r="N216" s="3002">
        <f t="shared" ca="1" si="19"/>
        <v>600643</v>
      </c>
    </row>
    <row r="217" spans="1:14" ht="24">
      <c r="A217" s="3007">
        <v>214</v>
      </c>
      <c r="B217" s="3007" t="s">
        <v>3273</v>
      </c>
      <c r="C217" s="3004" t="s">
        <v>3840</v>
      </c>
      <c r="D217" s="3007" t="s">
        <v>3884</v>
      </c>
      <c r="E217" s="3008" t="s">
        <v>3885</v>
      </c>
      <c r="F217" s="3011">
        <v>51.51</v>
      </c>
      <c r="G217" s="3011">
        <v>5.75</v>
      </c>
      <c r="H217" s="3004" t="s">
        <v>1373</v>
      </c>
      <c r="I217" s="3007" t="s">
        <v>3563</v>
      </c>
      <c r="J217" s="3010">
        <f t="shared" si="20"/>
        <v>56156</v>
      </c>
      <c r="K217" s="3007" t="str">
        <f t="shared" si="21"/>
        <v>12层</v>
      </c>
      <c r="L217" s="3007" t="s">
        <v>3886</v>
      </c>
      <c r="N217" s="3002">
        <f t="shared" ca="1" si="19"/>
        <v>480794</v>
      </c>
    </row>
    <row r="218" spans="1:14" ht="24">
      <c r="A218" s="3007">
        <v>215</v>
      </c>
      <c r="B218" s="3007" t="s">
        <v>3274</v>
      </c>
      <c r="C218" s="3004" t="s">
        <v>3564</v>
      </c>
      <c r="D218" s="3007" t="s">
        <v>3887</v>
      </c>
      <c r="E218" s="3008" t="s">
        <v>3888</v>
      </c>
      <c r="F218" s="3011">
        <v>53.3</v>
      </c>
      <c r="G218" s="3011">
        <v>5.95</v>
      </c>
      <c r="H218" s="3004" t="s">
        <v>1373</v>
      </c>
      <c r="I218" s="3007" t="s">
        <v>3563</v>
      </c>
      <c r="J218" s="3010">
        <f t="shared" si="20"/>
        <v>56156</v>
      </c>
      <c r="K218" s="3007" t="str">
        <f t="shared" si="21"/>
        <v>12层</v>
      </c>
      <c r="L218" s="3007" t="str">
        <f>$L$217</f>
        <v>11层</v>
      </c>
      <c r="N218" s="3002">
        <f t="shared" ca="1" si="19"/>
        <v>497502</v>
      </c>
    </row>
    <row r="219" spans="1:14" ht="24">
      <c r="A219" s="3007">
        <v>216</v>
      </c>
      <c r="B219" s="3007" t="s">
        <v>3275</v>
      </c>
      <c r="C219" s="3004" t="s">
        <v>3840</v>
      </c>
      <c r="D219" s="3007" t="s">
        <v>3889</v>
      </c>
      <c r="E219" s="3008" t="s">
        <v>3890</v>
      </c>
      <c r="F219" s="3011">
        <v>53.28</v>
      </c>
      <c r="G219" s="3011">
        <v>5.95</v>
      </c>
      <c r="H219" s="3004" t="s">
        <v>1373</v>
      </c>
      <c r="I219" s="3007" t="s">
        <v>3843</v>
      </c>
      <c r="J219" s="3010">
        <f t="shared" si="20"/>
        <v>56156</v>
      </c>
      <c r="K219" s="3007" t="str">
        <f t="shared" si="21"/>
        <v>12层</v>
      </c>
      <c r="L219" s="3007" t="str">
        <f t="shared" ref="L219:L228" si="22">$L$217</f>
        <v>11层</v>
      </c>
      <c r="N219" s="3002">
        <f t="shared" ca="1" si="19"/>
        <v>497316</v>
      </c>
    </row>
    <row r="220" spans="1:14" ht="24">
      <c r="A220" s="3007">
        <v>217</v>
      </c>
      <c r="B220" s="3007" t="s">
        <v>3276</v>
      </c>
      <c r="C220" s="3004" t="s">
        <v>3527</v>
      </c>
      <c r="D220" s="3007" t="s">
        <v>3891</v>
      </c>
      <c r="E220" s="3008" t="s">
        <v>3892</v>
      </c>
      <c r="F220" s="3011">
        <v>53.3</v>
      </c>
      <c r="G220" s="3011">
        <v>5.95</v>
      </c>
      <c r="H220" s="3004" t="s">
        <v>1373</v>
      </c>
      <c r="I220" s="3007" t="s">
        <v>3530</v>
      </c>
      <c r="J220" s="3010">
        <f t="shared" si="20"/>
        <v>56156</v>
      </c>
      <c r="K220" s="3007" t="str">
        <f t="shared" si="21"/>
        <v>12层</v>
      </c>
      <c r="L220" s="3007" t="str">
        <f t="shared" si="22"/>
        <v>11层</v>
      </c>
      <c r="N220" s="3002">
        <f t="shared" ca="1" si="19"/>
        <v>497502</v>
      </c>
    </row>
    <row r="221" spans="1:14" ht="24">
      <c r="A221" s="3007">
        <v>218</v>
      </c>
      <c r="B221" s="3007" t="s">
        <v>3277</v>
      </c>
      <c r="C221" s="3004" t="s">
        <v>3527</v>
      </c>
      <c r="D221" s="3007" t="s">
        <v>3893</v>
      </c>
      <c r="E221" s="3008" t="s">
        <v>3894</v>
      </c>
      <c r="F221" s="3011">
        <v>71.97</v>
      </c>
      <c r="G221" s="3011">
        <v>8.0299999999999994</v>
      </c>
      <c r="H221" s="3004" t="s">
        <v>1373</v>
      </c>
      <c r="I221" s="3007" t="s">
        <v>3530</v>
      </c>
      <c r="J221" s="3010">
        <f t="shared" si="20"/>
        <v>56156</v>
      </c>
      <c r="K221" s="3007" t="str">
        <f t="shared" si="21"/>
        <v>12层</v>
      </c>
      <c r="L221" s="3007" t="str">
        <f t="shared" si="22"/>
        <v>11层</v>
      </c>
      <c r="N221" s="3002">
        <f t="shared" ca="1" si="19"/>
        <v>671768</v>
      </c>
    </row>
    <row r="222" spans="1:14" ht="24">
      <c r="A222" s="3007">
        <v>219</v>
      </c>
      <c r="B222" s="3007" t="s">
        <v>3278</v>
      </c>
      <c r="C222" s="3004" t="s">
        <v>3527</v>
      </c>
      <c r="D222" s="3007" t="s">
        <v>3895</v>
      </c>
      <c r="E222" s="3008" t="s">
        <v>3896</v>
      </c>
      <c r="F222" s="3011">
        <v>72.39</v>
      </c>
      <c r="G222" s="3011">
        <v>8.08</v>
      </c>
      <c r="H222" s="3004" t="s">
        <v>1373</v>
      </c>
      <c r="I222" s="3007" t="s">
        <v>3530</v>
      </c>
      <c r="J222" s="3010">
        <f t="shared" si="20"/>
        <v>56156</v>
      </c>
      <c r="K222" s="3007" t="str">
        <f t="shared" si="21"/>
        <v>12层</v>
      </c>
      <c r="L222" s="3007" t="str">
        <f t="shared" si="22"/>
        <v>11层</v>
      </c>
      <c r="N222" s="3002">
        <f t="shared" ca="1" si="19"/>
        <v>675688</v>
      </c>
    </row>
    <row r="223" spans="1:14" ht="24">
      <c r="A223" s="3007">
        <v>220</v>
      </c>
      <c r="B223" s="3007" t="s">
        <v>3279</v>
      </c>
      <c r="C223" s="3004" t="s">
        <v>3527</v>
      </c>
      <c r="D223" s="3007" t="s">
        <v>3897</v>
      </c>
      <c r="E223" s="3008" t="s">
        <v>3898</v>
      </c>
      <c r="F223" s="3011">
        <v>52.89</v>
      </c>
      <c r="G223" s="3011">
        <v>5.9</v>
      </c>
      <c r="H223" s="3004" t="s">
        <v>1373</v>
      </c>
      <c r="I223" s="3007" t="s">
        <v>3843</v>
      </c>
      <c r="J223" s="3010">
        <f t="shared" si="20"/>
        <v>56156</v>
      </c>
      <c r="K223" s="3007" t="str">
        <f t="shared" si="21"/>
        <v>12层</v>
      </c>
      <c r="L223" s="3007" t="str">
        <f t="shared" si="22"/>
        <v>11层</v>
      </c>
      <c r="N223" s="3002">
        <f t="shared" ca="1" si="19"/>
        <v>493675</v>
      </c>
    </row>
    <row r="224" spans="1:14" ht="24">
      <c r="A224" s="3007">
        <v>221</v>
      </c>
      <c r="B224" s="3007" t="s">
        <v>3280</v>
      </c>
      <c r="C224" s="3004" t="s">
        <v>3840</v>
      </c>
      <c r="D224" s="3007" t="s">
        <v>3899</v>
      </c>
      <c r="E224" s="3008" t="s">
        <v>3900</v>
      </c>
      <c r="F224" s="3011">
        <v>52.96</v>
      </c>
      <c r="G224" s="3011">
        <v>5.91</v>
      </c>
      <c r="H224" s="3004" t="s">
        <v>1373</v>
      </c>
      <c r="I224" s="3007" t="s">
        <v>3901</v>
      </c>
      <c r="J224" s="3010">
        <f t="shared" si="20"/>
        <v>56156</v>
      </c>
      <c r="K224" s="3007" t="str">
        <f t="shared" si="21"/>
        <v>12层</v>
      </c>
      <c r="L224" s="3007" t="str">
        <f t="shared" si="22"/>
        <v>11层</v>
      </c>
      <c r="N224" s="3002">
        <f t="shared" ca="1" si="19"/>
        <v>494329</v>
      </c>
    </row>
    <row r="225" spans="1:14" ht="24">
      <c r="A225" s="3007">
        <v>222</v>
      </c>
      <c r="B225" s="3007" t="s">
        <v>3281</v>
      </c>
      <c r="C225" s="3004" t="s">
        <v>3902</v>
      </c>
      <c r="D225" s="3007" t="s">
        <v>3903</v>
      </c>
      <c r="E225" s="3008" t="s">
        <v>3904</v>
      </c>
      <c r="F225" s="3011">
        <v>52.93</v>
      </c>
      <c r="G225" s="3011">
        <v>5.91</v>
      </c>
      <c r="H225" s="3004" t="s">
        <v>1373</v>
      </c>
      <c r="I225" s="3007" t="s">
        <v>3563</v>
      </c>
      <c r="J225" s="3010">
        <f t="shared" si="20"/>
        <v>56156</v>
      </c>
      <c r="K225" s="3007" t="str">
        <f t="shared" si="21"/>
        <v>12层</v>
      </c>
      <c r="L225" s="3007" t="str">
        <f t="shared" si="22"/>
        <v>11层</v>
      </c>
      <c r="N225" s="3002">
        <f t="shared" ca="1" si="19"/>
        <v>494049</v>
      </c>
    </row>
    <row r="226" spans="1:14" ht="24">
      <c r="A226" s="3007">
        <v>223</v>
      </c>
      <c r="B226" s="3007" t="s">
        <v>3282</v>
      </c>
      <c r="C226" s="3004" t="s">
        <v>3564</v>
      </c>
      <c r="D226" s="3007" t="s">
        <v>3905</v>
      </c>
      <c r="E226" s="3008" t="s">
        <v>3906</v>
      </c>
      <c r="F226" s="3011">
        <v>53.61</v>
      </c>
      <c r="G226" s="3011">
        <v>5.98</v>
      </c>
      <c r="H226" s="3004" t="s">
        <v>1373</v>
      </c>
      <c r="I226" s="3007" t="s">
        <v>3563</v>
      </c>
      <c r="J226" s="3010">
        <f t="shared" si="20"/>
        <v>56156</v>
      </c>
      <c r="K226" s="3007" t="str">
        <f t="shared" si="21"/>
        <v>12层</v>
      </c>
      <c r="L226" s="3007" t="str">
        <f t="shared" si="22"/>
        <v>11层</v>
      </c>
      <c r="N226" s="3002">
        <f t="shared" ca="1" si="19"/>
        <v>500396</v>
      </c>
    </row>
    <row r="227" spans="1:14" ht="24">
      <c r="A227" s="3007">
        <v>224</v>
      </c>
      <c r="B227" s="3007" t="s">
        <v>3283</v>
      </c>
      <c r="C227" s="3004" t="s">
        <v>3564</v>
      </c>
      <c r="D227" s="3007" t="s">
        <v>3907</v>
      </c>
      <c r="E227" s="3008" t="s">
        <v>3908</v>
      </c>
      <c r="F227" s="3011">
        <v>61.96</v>
      </c>
      <c r="G227" s="3011">
        <v>6.91</v>
      </c>
      <c r="H227" s="3004" t="s">
        <v>1373</v>
      </c>
      <c r="I227" s="3007" t="s">
        <v>3563</v>
      </c>
      <c r="J227" s="3010">
        <f t="shared" si="20"/>
        <v>56156</v>
      </c>
      <c r="K227" s="3007" t="str">
        <f t="shared" si="21"/>
        <v>12层</v>
      </c>
      <c r="L227" s="3007" t="str">
        <f t="shared" si="22"/>
        <v>11层</v>
      </c>
      <c r="N227" s="3002">
        <f t="shared" ca="1" si="19"/>
        <v>578335</v>
      </c>
    </row>
    <row r="228" spans="1:14" ht="24">
      <c r="A228" s="3007">
        <v>225</v>
      </c>
      <c r="B228" s="3007" t="s">
        <v>3284</v>
      </c>
      <c r="C228" s="3004" t="s">
        <v>3564</v>
      </c>
      <c r="D228" s="3007" t="s">
        <v>3909</v>
      </c>
      <c r="E228" s="3008" t="s">
        <v>3910</v>
      </c>
      <c r="F228" s="3011">
        <v>66.66</v>
      </c>
      <c r="G228" s="3011">
        <v>7.44</v>
      </c>
      <c r="H228" s="3004" t="s">
        <v>1373</v>
      </c>
      <c r="I228" s="3007" t="s">
        <v>3563</v>
      </c>
      <c r="J228" s="3010">
        <f t="shared" si="20"/>
        <v>56156</v>
      </c>
      <c r="K228" s="3007" t="str">
        <f t="shared" si="21"/>
        <v>12层</v>
      </c>
      <c r="L228" s="3007" t="str">
        <f t="shared" si="22"/>
        <v>11层</v>
      </c>
      <c r="N228" s="3002">
        <f t="shared" ca="1" si="19"/>
        <v>622204</v>
      </c>
    </row>
    <row r="229" spans="1:14" ht="25.5" customHeight="1">
      <c r="A229" s="3383" t="s">
        <v>3911</v>
      </c>
      <c r="B229" s="3383"/>
      <c r="C229" s="3383"/>
      <c r="D229" s="3383"/>
      <c r="E229" s="3383"/>
      <c r="F229" s="3012">
        <f>SUM(F4:F228)</f>
        <v>13106.659999999993</v>
      </c>
      <c r="G229" s="3012">
        <f>SUM(G4:G228)</f>
        <v>1462.7400000000021</v>
      </c>
      <c r="H229" s="3007"/>
      <c r="I229" s="3007"/>
      <c r="J229" s="3012"/>
      <c r="K229" s="3007"/>
      <c r="L229" s="3007"/>
      <c r="N229" s="3002">
        <f ca="1">SUM(N4:N228)</f>
        <v>122337555</v>
      </c>
    </row>
    <row r="232" spans="1:14">
      <c r="G232" s="3014"/>
    </row>
    <row r="233" spans="1:14">
      <c r="G233" s="3014"/>
    </row>
    <row r="234" spans="1:14">
      <c r="F234" s="3014"/>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2"/>
  <sheetViews>
    <sheetView topLeftCell="A79" workbookViewId="0">
      <selection activeCell="G97" sqref="G97"/>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4" ht="18.75" customHeight="1">
      <c r="A1" s="3381" t="s">
        <v>4200</v>
      </c>
      <c r="B1" s="3381"/>
      <c r="C1" s="3381"/>
      <c r="D1" s="3381"/>
      <c r="E1" s="3381"/>
      <c r="F1" s="3381"/>
      <c r="G1" s="3381"/>
      <c r="H1" s="3381"/>
      <c r="I1" s="3381"/>
      <c r="J1" s="3381"/>
      <c r="K1" s="3381"/>
      <c r="L1" s="3381"/>
    </row>
    <row r="2" spans="1:14" ht="13.5" customHeight="1">
      <c r="A2" s="3382" t="s">
        <v>3418</v>
      </c>
      <c r="B2" s="3382"/>
      <c r="C2" s="3382"/>
      <c r="D2" s="3382"/>
      <c r="E2" s="3382"/>
      <c r="F2" s="3382"/>
      <c r="G2" s="3382"/>
      <c r="H2" s="3382"/>
      <c r="I2" s="3382"/>
      <c r="J2" s="3382"/>
      <c r="K2" s="3382"/>
      <c r="L2" s="3382"/>
    </row>
    <row r="3" spans="1:14"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4"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[2]结果表!$G$20</f>
        <v>10034</v>
      </c>
      <c r="N4" s="3002">
        <f>ROUND(F4*$M$4,0)</f>
        <v>702781</v>
      </c>
    </row>
    <row r="5" spans="1:14"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543040</v>
      </c>
    </row>
    <row r="6" spans="1:14" ht="24">
      <c r="A6" s="3003">
        <v>3</v>
      </c>
      <c r="B6" s="3024" t="s">
        <v>3061</v>
      </c>
      <c r="C6" s="3004" t="s">
        <v>3431</v>
      </c>
      <c r="D6" s="3025" t="s">
        <v>4207</v>
      </c>
      <c r="E6" s="3008" t="s">
        <v>4208</v>
      </c>
      <c r="F6" s="3026">
        <v>54</v>
      </c>
      <c r="G6" s="3026">
        <v>6.92</v>
      </c>
      <c r="H6" s="3004" t="s">
        <v>1373</v>
      </c>
      <c r="I6" s="3007" t="s">
        <v>3443</v>
      </c>
      <c r="J6" s="3010">
        <f t="shared" ref="J6:J69" si="1">$J$4</f>
        <v>56156</v>
      </c>
      <c r="K6" s="3007" t="str">
        <f t="shared" ref="K6:K69" si="2">$K$4</f>
        <v xml:space="preserve">10层 </v>
      </c>
      <c r="L6" s="3007" t="str">
        <f>L5</f>
        <v>1层</v>
      </c>
      <c r="N6" s="3002">
        <f t="shared" si="0"/>
        <v>541836</v>
      </c>
    </row>
    <row r="7" spans="1:14" ht="24">
      <c r="A7" s="3003">
        <v>4</v>
      </c>
      <c r="B7" s="3024" t="s">
        <v>3062</v>
      </c>
      <c r="C7" s="3004" t="s">
        <v>4209</v>
      </c>
      <c r="D7" s="3025" t="s">
        <v>4210</v>
      </c>
      <c r="E7" s="3008" t="s">
        <v>4211</v>
      </c>
      <c r="F7" s="3027">
        <v>54.37</v>
      </c>
      <c r="G7" s="3027">
        <v>6.96</v>
      </c>
      <c r="H7" s="3004" t="s">
        <v>1373</v>
      </c>
      <c r="I7" s="3007" t="s">
        <v>4212</v>
      </c>
      <c r="J7" s="3010">
        <f t="shared" si="1"/>
        <v>56156</v>
      </c>
      <c r="K7" s="3007" t="str">
        <f t="shared" si="2"/>
        <v xml:space="preserve">10层 </v>
      </c>
      <c r="L7" s="3007" t="str">
        <f t="shared" ref="L7:L15" si="3">L6</f>
        <v>1层</v>
      </c>
      <c r="N7" s="3002">
        <f t="shared" si="0"/>
        <v>545549</v>
      </c>
    </row>
    <row r="8" spans="1:14" ht="24">
      <c r="A8" s="3003">
        <v>5</v>
      </c>
      <c r="B8" s="3003" t="s">
        <v>3063</v>
      </c>
      <c r="C8" s="3004" t="s">
        <v>3431</v>
      </c>
      <c r="D8" s="3025" t="s">
        <v>4213</v>
      </c>
      <c r="E8" s="3008" t="s">
        <v>4214</v>
      </c>
      <c r="F8" s="3028">
        <v>67.239999999999995</v>
      </c>
      <c r="G8" s="3028">
        <v>8.61</v>
      </c>
      <c r="H8" s="3004" t="s">
        <v>1373</v>
      </c>
      <c r="I8" s="3007" t="s">
        <v>3443</v>
      </c>
      <c r="J8" s="3010">
        <f t="shared" si="1"/>
        <v>56156</v>
      </c>
      <c r="K8" s="3007" t="str">
        <f t="shared" si="2"/>
        <v xml:space="preserve">10层 </v>
      </c>
      <c r="L8" s="3007" t="str">
        <f t="shared" si="3"/>
        <v>1层</v>
      </c>
      <c r="N8" s="3002">
        <f t="shared" si="0"/>
        <v>674686</v>
      </c>
    </row>
    <row r="9" spans="1:14" ht="24">
      <c r="A9" s="3003">
        <v>6</v>
      </c>
      <c r="B9" s="3003" t="s">
        <v>3064</v>
      </c>
      <c r="C9" s="3004" t="s">
        <v>3431</v>
      </c>
      <c r="D9" s="3025" t="s">
        <v>4215</v>
      </c>
      <c r="E9" s="3008" t="s">
        <v>4216</v>
      </c>
      <c r="F9" s="3028">
        <v>57.33</v>
      </c>
      <c r="G9" s="3028">
        <v>7.34</v>
      </c>
      <c r="H9" s="3004" t="s">
        <v>1373</v>
      </c>
      <c r="I9" s="3007" t="s">
        <v>3443</v>
      </c>
      <c r="J9" s="3010">
        <f t="shared" si="1"/>
        <v>56156</v>
      </c>
      <c r="K9" s="3007" t="str">
        <f t="shared" si="2"/>
        <v xml:space="preserve">10层 </v>
      </c>
      <c r="L9" s="3007" t="str">
        <f t="shared" si="3"/>
        <v>1层</v>
      </c>
      <c r="N9" s="3002">
        <f t="shared" si="0"/>
        <v>575249</v>
      </c>
    </row>
    <row r="10" spans="1:14" ht="24">
      <c r="A10" s="3003">
        <v>7</v>
      </c>
      <c r="B10" s="3003" t="s">
        <v>3065</v>
      </c>
      <c r="C10" s="3004" t="s">
        <v>3431</v>
      </c>
      <c r="D10" s="3025" t="s">
        <v>4217</v>
      </c>
      <c r="E10" s="3008" t="s">
        <v>4218</v>
      </c>
      <c r="F10" s="3028">
        <v>96.95</v>
      </c>
      <c r="G10" s="3028">
        <v>12.42</v>
      </c>
      <c r="H10" s="3004" t="s">
        <v>1373</v>
      </c>
      <c r="I10" s="3007" t="s">
        <v>3443</v>
      </c>
      <c r="J10" s="3010">
        <f t="shared" si="1"/>
        <v>56156</v>
      </c>
      <c r="K10" s="3007" t="str">
        <f t="shared" si="2"/>
        <v xml:space="preserve">10层 </v>
      </c>
      <c r="L10" s="3007" t="str">
        <f t="shared" si="3"/>
        <v>1层</v>
      </c>
      <c r="N10" s="3002">
        <f t="shared" si="0"/>
        <v>972796</v>
      </c>
    </row>
    <row r="11" spans="1:14" ht="24">
      <c r="A11" s="3003">
        <v>8</v>
      </c>
      <c r="B11" s="3003" t="s">
        <v>3066</v>
      </c>
      <c r="C11" s="3004" t="s">
        <v>3431</v>
      </c>
      <c r="D11" s="3025" t="s">
        <v>4219</v>
      </c>
      <c r="E11" s="3008" t="s">
        <v>4220</v>
      </c>
      <c r="F11" s="3028">
        <v>96.95</v>
      </c>
      <c r="G11" s="3028">
        <v>12.42</v>
      </c>
      <c r="H11" s="3004" t="s">
        <v>1373</v>
      </c>
      <c r="I11" s="3007" t="s">
        <v>3443</v>
      </c>
      <c r="J11" s="3010">
        <f t="shared" si="1"/>
        <v>56156</v>
      </c>
      <c r="K11" s="3007" t="str">
        <f t="shared" si="2"/>
        <v xml:space="preserve">10层 </v>
      </c>
      <c r="L11" s="3007" t="str">
        <f t="shared" si="3"/>
        <v>1层</v>
      </c>
      <c r="N11" s="3002">
        <f t="shared" si="0"/>
        <v>972796</v>
      </c>
    </row>
    <row r="12" spans="1:14" ht="24">
      <c r="A12" s="3003">
        <v>9</v>
      </c>
      <c r="B12" s="3003" t="s">
        <v>3067</v>
      </c>
      <c r="C12" s="3004" t="s">
        <v>3431</v>
      </c>
      <c r="D12" s="3025" t="s">
        <v>4221</v>
      </c>
      <c r="E12" s="3008" t="s">
        <v>4222</v>
      </c>
      <c r="F12" s="3028">
        <v>57.33</v>
      </c>
      <c r="G12" s="3028">
        <v>7.34</v>
      </c>
      <c r="H12" s="3004" t="s">
        <v>1373</v>
      </c>
      <c r="I12" s="3007" t="s">
        <v>3443</v>
      </c>
      <c r="J12" s="3010">
        <f t="shared" si="1"/>
        <v>56156</v>
      </c>
      <c r="K12" s="3007" t="str">
        <f t="shared" si="2"/>
        <v xml:space="preserve">10层 </v>
      </c>
      <c r="L12" s="3007" t="str">
        <f t="shared" si="3"/>
        <v>1层</v>
      </c>
      <c r="N12" s="3002">
        <f t="shared" si="0"/>
        <v>575249</v>
      </c>
    </row>
    <row r="13" spans="1:14" ht="24">
      <c r="A13" s="3003">
        <v>10</v>
      </c>
      <c r="B13" s="3003" t="s">
        <v>3068</v>
      </c>
      <c r="C13" s="3004" t="s">
        <v>3431</v>
      </c>
      <c r="D13" s="3025" t="s">
        <v>4223</v>
      </c>
      <c r="E13" s="3008" t="s">
        <v>4224</v>
      </c>
      <c r="F13" s="3028">
        <v>67.290000000000006</v>
      </c>
      <c r="G13" s="3028">
        <v>8.6199999999999992</v>
      </c>
      <c r="H13" s="3004" t="s">
        <v>1373</v>
      </c>
      <c r="I13" s="3007" t="s">
        <v>3443</v>
      </c>
      <c r="J13" s="3010">
        <f t="shared" si="1"/>
        <v>56156</v>
      </c>
      <c r="K13" s="3007" t="str">
        <f t="shared" si="2"/>
        <v xml:space="preserve">10层 </v>
      </c>
      <c r="L13" s="3007" t="str">
        <f t="shared" si="3"/>
        <v>1层</v>
      </c>
      <c r="N13" s="3002">
        <f t="shared" si="0"/>
        <v>675188</v>
      </c>
    </row>
    <row r="14" spans="1:14" ht="24">
      <c r="A14" s="3003">
        <v>11</v>
      </c>
      <c r="B14" s="3003" t="s">
        <v>3069</v>
      </c>
      <c r="C14" s="3004" t="s">
        <v>3431</v>
      </c>
      <c r="D14" s="3025" t="s">
        <v>4225</v>
      </c>
      <c r="E14" s="3008" t="s">
        <v>4226</v>
      </c>
      <c r="F14" s="3028">
        <v>54.12</v>
      </c>
      <c r="G14" s="3028">
        <v>6.93</v>
      </c>
      <c r="H14" s="3004" t="s">
        <v>1373</v>
      </c>
      <c r="I14" s="3007" t="s">
        <v>3443</v>
      </c>
      <c r="J14" s="3010">
        <f t="shared" si="1"/>
        <v>56156</v>
      </c>
      <c r="K14" s="3007" t="str">
        <f t="shared" si="2"/>
        <v xml:space="preserve">10层 </v>
      </c>
      <c r="L14" s="3007" t="str">
        <f t="shared" si="3"/>
        <v>1层</v>
      </c>
      <c r="N14" s="3002">
        <f t="shared" si="0"/>
        <v>543040</v>
      </c>
    </row>
    <row r="15" spans="1:14" ht="24">
      <c r="A15" s="3003">
        <v>12</v>
      </c>
      <c r="B15" s="3003" t="s">
        <v>3070</v>
      </c>
      <c r="C15" s="3004" t="s">
        <v>4209</v>
      </c>
      <c r="D15" s="3025" t="s">
        <v>4227</v>
      </c>
      <c r="E15" s="3008" t="s">
        <v>4228</v>
      </c>
      <c r="F15" s="3028">
        <v>74.06</v>
      </c>
      <c r="G15" s="3028">
        <v>9.49</v>
      </c>
      <c r="H15" s="3004" t="s">
        <v>1373</v>
      </c>
      <c r="I15" s="3007" t="s">
        <v>4212</v>
      </c>
      <c r="J15" s="3010">
        <f t="shared" si="1"/>
        <v>56156</v>
      </c>
      <c r="K15" s="3007" t="str">
        <f t="shared" si="2"/>
        <v xml:space="preserve">10层 </v>
      </c>
      <c r="L15" s="3007" t="str">
        <f t="shared" si="3"/>
        <v>1层</v>
      </c>
      <c r="N15" s="3002">
        <f t="shared" si="0"/>
        <v>743118</v>
      </c>
    </row>
    <row r="16" spans="1:14" ht="24">
      <c r="A16" s="3003">
        <v>13</v>
      </c>
      <c r="B16" s="3003" t="s">
        <v>3077</v>
      </c>
      <c r="C16" s="3004" t="s">
        <v>3431</v>
      </c>
      <c r="D16" s="3025" t="s">
        <v>4229</v>
      </c>
      <c r="E16" s="3008" t="s">
        <v>4230</v>
      </c>
      <c r="F16" s="3028">
        <v>68.27</v>
      </c>
      <c r="G16" s="3028">
        <v>8.74</v>
      </c>
      <c r="H16" s="3004" t="s">
        <v>1373</v>
      </c>
      <c r="I16" s="3007" t="s">
        <v>3443</v>
      </c>
      <c r="J16" s="3010">
        <f t="shared" si="1"/>
        <v>56156</v>
      </c>
      <c r="K16" s="3007" t="str">
        <f t="shared" si="2"/>
        <v xml:space="preserve">10层 </v>
      </c>
      <c r="L16" s="3007" t="s">
        <v>3956</v>
      </c>
      <c r="N16" s="3002">
        <f t="shared" si="0"/>
        <v>685021</v>
      </c>
    </row>
    <row r="17" spans="1:14" ht="24">
      <c r="A17" s="3003">
        <v>14</v>
      </c>
      <c r="B17" s="3003" t="s">
        <v>3078</v>
      </c>
      <c r="C17" s="3004" t="s">
        <v>3431</v>
      </c>
      <c r="D17" s="3025" t="s">
        <v>4231</v>
      </c>
      <c r="E17" s="3008" t="s">
        <v>4232</v>
      </c>
      <c r="F17" s="3028">
        <v>52.74</v>
      </c>
      <c r="G17" s="3028">
        <v>6.76</v>
      </c>
      <c r="H17" s="3004" t="s">
        <v>1373</v>
      </c>
      <c r="I17" s="3007" t="s">
        <v>3443</v>
      </c>
      <c r="J17" s="3010">
        <f t="shared" si="1"/>
        <v>56156</v>
      </c>
      <c r="K17" s="3007" t="str">
        <f t="shared" si="2"/>
        <v xml:space="preserve">10层 </v>
      </c>
      <c r="L17" s="3007" t="str">
        <f>L16</f>
        <v>2层</v>
      </c>
      <c r="N17" s="3002">
        <f t="shared" si="0"/>
        <v>529193</v>
      </c>
    </row>
    <row r="18" spans="1:14" ht="24">
      <c r="A18" s="3003">
        <v>15</v>
      </c>
      <c r="B18" s="3003" t="s">
        <v>3079</v>
      </c>
      <c r="C18" s="3004" t="s">
        <v>3431</v>
      </c>
      <c r="D18" s="3025" t="s">
        <v>4233</v>
      </c>
      <c r="E18" s="3008" t="s">
        <v>4234</v>
      </c>
      <c r="F18" s="3028">
        <v>52.63</v>
      </c>
      <c r="G18" s="3028">
        <v>6.74</v>
      </c>
      <c r="H18" s="3004" t="s">
        <v>1373</v>
      </c>
      <c r="I18" s="3007" t="s">
        <v>3443</v>
      </c>
      <c r="J18" s="3010">
        <f t="shared" si="1"/>
        <v>56156</v>
      </c>
      <c r="K18" s="3007" t="str">
        <f t="shared" si="2"/>
        <v xml:space="preserve">10层 </v>
      </c>
      <c r="L18" s="3007" t="str">
        <f t="shared" ref="L18:L29" si="4">L17</f>
        <v>2层</v>
      </c>
      <c r="N18" s="3002">
        <f t="shared" si="0"/>
        <v>528089</v>
      </c>
    </row>
    <row r="19" spans="1:14" ht="24">
      <c r="A19" s="3003">
        <v>16</v>
      </c>
      <c r="B19" s="3003" t="s">
        <v>3080</v>
      </c>
      <c r="C19" s="3004" t="s">
        <v>3431</v>
      </c>
      <c r="D19" s="3025" t="s">
        <v>4235</v>
      </c>
      <c r="E19" s="3008" t="s">
        <v>4236</v>
      </c>
      <c r="F19" s="3028">
        <v>53</v>
      </c>
      <c r="G19" s="3028">
        <v>6.79</v>
      </c>
      <c r="H19" s="3004" t="s">
        <v>1373</v>
      </c>
      <c r="I19" s="3007" t="s">
        <v>3443</v>
      </c>
      <c r="J19" s="3010">
        <f t="shared" si="1"/>
        <v>56156</v>
      </c>
      <c r="K19" s="3007" t="str">
        <f t="shared" si="2"/>
        <v xml:space="preserve">10层 </v>
      </c>
      <c r="L19" s="3007" t="str">
        <f t="shared" si="4"/>
        <v>2层</v>
      </c>
      <c r="N19" s="3002">
        <f t="shared" si="0"/>
        <v>531802</v>
      </c>
    </row>
    <row r="20" spans="1:14" ht="24">
      <c r="A20" s="3003">
        <v>17</v>
      </c>
      <c r="B20" s="3003" t="s">
        <v>3081</v>
      </c>
      <c r="C20" s="3004" t="s">
        <v>3431</v>
      </c>
      <c r="D20" s="3025" t="s">
        <v>4237</v>
      </c>
      <c r="E20" s="3008" t="s">
        <v>4238</v>
      </c>
      <c r="F20" s="3028">
        <v>65.540000000000006</v>
      </c>
      <c r="G20" s="3028">
        <v>8.39</v>
      </c>
      <c r="H20" s="3004" t="s">
        <v>1373</v>
      </c>
      <c r="I20" s="3007" t="s">
        <v>3443</v>
      </c>
      <c r="J20" s="3010">
        <f t="shared" si="1"/>
        <v>56156</v>
      </c>
      <c r="K20" s="3007" t="str">
        <f t="shared" si="2"/>
        <v xml:space="preserve">10层 </v>
      </c>
      <c r="L20" s="3007" t="str">
        <f t="shared" si="4"/>
        <v>2层</v>
      </c>
      <c r="N20" s="3002">
        <f t="shared" si="0"/>
        <v>657628</v>
      </c>
    </row>
    <row r="21" spans="1:14" ht="24">
      <c r="A21" s="3003">
        <v>18</v>
      </c>
      <c r="B21" s="3003" t="s">
        <v>3082</v>
      </c>
      <c r="C21" s="3004" t="s">
        <v>3431</v>
      </c>
      <c r="D21" s="3025" t="s">
        <v>4239</v>
      </c>
      <c r="E21" s="3008" t="s">
        <v>4240</v>
      </c>
      <c r="F21" s="3028">
        <v>55.88</v>
      </c>
      <c r="G21" s="3028">
        <v>7.16</v>
      </c>
      <c r="H21" s="3004" t="s">
        <v>1373</v>
      </c>
      <c r="I21" s="3007" t="s">
        <v>3443</v>
      </c>
      <c r="J21" s="3010">
        <f t="shared" si="1"/>
        <v>56156</v>
      </c>
      <c r="K21" s="3007" t="str">
        <f t="shared" si="2"/>
        <v xml:space="preserve">10层 </v>
      </c>
      <c r="L21" s="3007" t="str">
        <f t="shared" si="4"/>
        <v>2层</v>
      </c>
      <c r="N21" s="3002">
        <f t="shared" si="0"/>
        <v>560700</v>
      </c>
    </row>
    <row r="22" spans="1:14" ht="24">
      <c r="A22" s="3003">
        <v>19</v>
      </c>
      <c r="B22" s="3003" t="s">
        <v>3083</v>
      </c>
      <c r="C22" s="3004" t="s">
        <v>3431</v>
      </c>
      <c r="D22" s="3025" t="s">
        <v>4241</v>
      </c>
      <c r="E22" s="3008" t="s">
        <v>4242</v>
      </c>
      <c r="F22" s="3028">
        <v>94.49</v>
      </c>
      <c r="G22" s="3028">
        <v>12.1</v>
      </c>
      <c r="H22" s="3004" t="s">
        <v>1373</v>
      </c>
      <c r="I22" s="3007" t="s">
        <v>3443</v>
      </c>
      <c r="J22" s="3010">
        <f t="shared" si="1"/>
        <v>56156</v>
      </c>
      <c r="K22" s="3007" t="str">
        <f t="shared" si="2"/>
        <v xml:space="preserve">10层 </v>
      </c>
      <c r="L22" s="3007" t="str">
        <f t="shared" si="4"/>
        <v>2层</v>
      </c>
      <c r="N22" s="3002">
        <f t="shared" si="0"/>
        <v>948113</v>
      </c>
    </row>
    <row r="23" spans="1:14" ht="24">
      <c r="A23" s="3003">
        <v>20</v>
      </c>
      <c r="B23" s="3003" t="s">
        <v>3084</v>
      </c>
      <c r="C23" s="3004" t="s">
        <v>3431</v>
      </c>
      <c r="D23" s="3025" t="s">
        <v>4243</v>
      </c>
      <c r="E23" s="3008" t="s">
        <v>4244</v>
      </c>
      <c r="F23" s="3028">
        <v>94.49</v>
      </c>
      <c r="G23" s="3028">
        <v>12.1</v>
      </c>
      <c r="H23" s="3004" t="s">
        <v>1373</v>
      </c>
      <c r="I23" s="3007" t="s">
        <v>3443</v>
      </c>
      <c r="J23" s="3010">
        <f t="shared" si="1"/>
        <v>56156</v>
      </c>
      <c r="K23" s="3007" t="str">
        <f t="shared" si="2"/>
        <v xml:space="preserve">10层 </v>
      </c>
      <c r="L23" s="3007" t="str">
        <f t="shared" si="4"/>
        <v>2层</v>
      </c>
      <c r="N23" s="3002">
        <f t="shared" si="0"/>
        <v>948113</v>
      </c>
    </row>
    <row r="24" spans="1:14" ht="24">
      <c r="A24" s="3003">
        <v>21</v>
      </c>
      <c r="B24" s="3003" t="s">
        <v>3085</v>
      </c>
      <c r="C24" s="3004" t="s">
        <v>3431</v>
      </c>
      <c r="D24" s="3025" t="s">
        <v>4245</v>
      </c>
      <c r="E24" s="3008" t="s">
        <v>4246</v>
      </c>
      <c r="F24" s="3028">
        <v>55.88</v>
      </c>
      <c r="G24" s="3028">
        <v>7.16</v>
      </c>
      <c r="H24" s="3004" t="s">
        <v>1373</v>
      </c>
      <c r="I24" s="3007" t="s">
        <v>3443</v>
      </c>
      <c r="J24" s="3010">
        <f t="shared" si="1"/>
        <v>56156</v>
      </c>
      <c r="K24" s="3007" t="str">
        <f t="shared" si="2"/>
        <v xml:space="preserve">10层 </v>
      </c>
      <c r="L24" s="3007" t="str">
        <f t="shared" si="4"/>
        <v>2层</v>
      </c>
      <c r="N24" s="3002">
        <f t="shared" si="0"/>
        <v>560700</v>
      </c>
    </row>
    <row r="25" spans="1:14" ht="24">
      <c r="A25" s="3003">
        <v>22</v>
      </c>
      <c r="B25" s="3003" t="s">
        <v>3086</v>
      </c>
      <c r="C25" s="3004" t="s">
        <v>4209</v>
      </c>
      <c r="D25" s="3025" t="s">
        <v>4247</v>
      </c>
      <c r="E25" s="3008" t="s">
        <v>4248</v>
      </c>
      <c r="F25" s="3028">
        <v>65.540000000000006</v>
      </c>
      <c r="G25" s="3028">
        <v>8.39</v>
      </c>
      <c r="H25" s="3004" t="s">
        <v>1373</v>
      </c>
      <c r="I25" s="3007" t="s">
        <v>4212</v>
      </c>
      <c r="J25" s="3010">
        <f t="shared" si="1"/>
        <v>56156</v>
      </c>
      <c r="K25" s="3007" t="str">
        <f t="shared" si="2"/>
        <v xml:space="preserve">10层 </v>
      </c>
      <c r="L25" s="3007" t="str">
        <f t="shared" si="4"/>
        <v>2层</v>
      </c>
      <c r="N25" s="3002">
        <f t="shared" si="0"/>
        <v>657628</v>
      </c>
    </row>
    <row r="26" spans="1:14" ht="24">
      <c r="A26" s="3003">
        <v>23</v>
      </c>
      <c r="B26" s="3003" t="s">
        <v>3087</v>
      </c>
      <c r="C26" s="3004" t="s">
        <v>3431</v>
      </c>
      <c r="D26" s="3025" t="s">
        <v>4249</v>
      </c>
      <c r="E26" s="3008" t="s">
        <v>4250</v>
      </c>
      <c r="F26" s="3028">
        <v>53</v>
      </c>
      <c r="G26" s="3028">
        <v>6.79</v>
      </c>
      <c r="H26" s="3004" t="s">
        <v>1373</v>
      </c>
      <c r="I26" s="3007" t="s">
        <v>3443</v>
      </c>
      <c r="J26" s="3010">
        <f t="shared" si="1"/>
        <v>56156</v>
      </c>
      <c r="K26" s="3007" t="str">
        <f t="shared" si="2"/>
        <v xml:space="preserve">10层 </v>
      </c>
      <c r="L26" s="3007" t="str">
        <f t="shared" si="4"/>
        <v>2层</v>
      </c>
      <c r="N26" s="3002">
        <f t="shared" si="0"/>
        <v>531802</v>
      </c>
    </row>
    <row r="27" spans="1:14" ht="24">
      <c r="A27" s="3003">
        <v>24</v>
      </c>
      <c r="B27" s="3003" t="s">
        <v>3088</v>
      </c>
      <c r="C27" s="3004" t="s">
        <v>3431</v>
      </c>
      <c r="D27" s="3025" t="s">
        <v>4251</v>
      </c>
      <c r="E27" s="3008" t="s">
        <v>4252</v>
      </c>
      <c r="F27" s="3028">
        <v>52.63</v>
      </c>
      <c r="G27" s="3028">
        <v>6.74</v>
      </c>
      <c r="H27" s="3004" t="s">
        <v>1373</v>
      </c>
      <c r="I27" s="3007" t="s">
        <v>3443</v>
      </c>
      <c r="J27" s="3010">
        <f t="shared" si="1"/>
        <v>56156</v>
      </c>
      <c r="K27" s="3007" t="str">
        <f t="shared" si="2"/>
        <v xml:space="preserve">10层 </v>
      </c>
      <c r="L27" s="3007" t="str">
        <f t="shared" si="4"/>
        <v>2层</v>
      </c>
      <c r="N27" s="3002">
        <f t="shared" si="0"/>
        <v>528089</v>
      </c>
    </row>
    <row r="28" spans="1:14" ht="24">
      <c r="A28" s="3003">
        <v>25</v>
      </c>
      <c r="B28" s="3003" t="s">
        <v>3089</v>
      </c>
      <c r="C28" s="3004" t="s">
        <v>3431</v>
      </c>
      <c r="D28" s="3025" t="s">
        <v>4253</v>
      </c>
      <c r="E28" s="3008" t="s">
        <v>4254</v>
      </c>
      <c r="F28" s="3028">
        <v>52.74</v>
      </c>
      <c r="G28" s="3028">
        <v>6.76</v>
      </c>
      <c r="H28" s="3004" t="s">
        <v>1373</v>
      </c>
      <c r="I28" s="3007" t="s">
        <v>3443</v>
      </c>
      <c r="J28" s="3010">
        <f t="shared" si="1"/>
        <v>56156</v>
      </c>
      <c r="K28" s="3007" t="str">
        <f t="shared" si="2"/>
        <v xml:space="preserve">10层 </v>
      </c>
      <c r="L28" s="3007" t="str">
        <f t="shared" si="4"/>
        <v>2层</v>
      </c>
      <c r="N28" s="3002">
        <f t="shared" si="0"/>
        <v>529193</v>
      </c>
    </row>
    <row r="29" spans="1:14" ht="24">
      <c r="A29" s="3003">
        <v>26</v>
      </c>
      <c r="B29" s="3003" t="s">
        <v>3090</v>
      </c>
      <c r="C29" s="3004" t="s">
        <v>3934</v>
      </c>
      <c r="D29" s="3025" t="s">
        <v>4255</v>
      </c>
      <c r="E29" s="3008" t="s">
        <v>4256</v>
      </c>
      <c r="F29" s="3028">
        <v>72.180000000000007</v>
      </c>
      <c r="G29" s="3028">
        <v>9.25</v>
      </c>
      <c r="H29" s="3004" t="s">
        <v>1373</v>
      </c>
      <c r="I29" s="3007" t="s">
        <v>4257</v>
      </c>
      <c r="J29" s="3010">
        <f t="shared" si="1"/>
        <v>56156</v>
      </c>
      <c r="K29" s="3007" t="str">
        <f t="shared" si="2"/>
        <v xml:space="preserve">10层 </v>
      </c>
      <c r="L29" s="3007" t="str">
        <f t="shared" si="4"/>
        <v>2层</v>
      </c>
      <c r="N29" s="3002">
        <f t="shared" si="0"/>
        <v>724254</v>
      </c>
    </row>
    <row r="30" spans="1:14" ht="24">
      <c r="A30" s="3003">
        <v>27</v>
      </c>
      <c r="B30" s="3003" t="s">
        <v>3099</v>
      </c>
      <c r="C30" s="3004" t="s">
        <v>3431</v>
      </c>
      <c r="D30" s="3025" t="s">
        <v>4258</v>
      </c>
      <c r="E30" s="3008" t="s">
        <v>4259</v>
      </c>
      <c r="F30" s="3028">
        <v>68.27</v>
      </c>
      <c r="G30" s="3028">
        <v>8.74</v>
      </c>
      <c r="H30" s="3004" t="s">
        <v>1373</v>
      </c>
      <c r="I30" s="3007" t="s">
        <v>3443</v>
      </c>
      <c r="J30" s="3010">
        <f t="shared" si="1"/>
        <v>56156</v>
      </c>
      <c r="K30" s="3007" t="str">
        <f t="shared" si="2"/>
        <v xml:space="preserve">10层 </v>
      </c>
      <c r="L30" s="3007" t="s">
        <v>3522</v>
      </c>
      <c r="N30" s="3002">
        <f t="shared" si="0"/>
        <v>685021</v>
      </c>
    </row>
    <row r="31" spans="1:14" ht="24">
      <c r="A31" s="3003">
        <v>28</v>
      </c>
      <c r="B31" s="3003" t="s">
        <v>3100</v>
      </c>
      <c r="C31" s="3004" t="s">
        <v>3431</v>
      </c>
      <c r="D31" s="3025" t="s">
        <v>4260</v>
      </c>
      <c r="E31" s="3008" t="s">
        <v>4261</v>
      </c>
      <c r="F31" s="3028">
        <v>52.74</v>
      </c>
      <c r="G31" s="3028">
        <v>6.76</v>
      </c>
      <c r="H31" s="3004" t="s">
        <v>1373</v>
      </c>
      <c r="I31" s="3007" t="s">
        <v>3443</v>
      </c>
      <c r="J31" s="3010">
        <f t="shared" si="1"/>
        <v>56156</v>
      </c>
      <c r="K31" s="3007" t="str">
        <f t="shared" si="2"/>
        <v xml:space="preserve">10层 </v>
      </c>
      <c r="L31" s="3007" t="str">
        <f>L30</f>
        <v>3层</v>
      </c>
      <c r="N31" s="3002">
        <f t="shared" si="0"/>
        <v>529193</v>
      </c>
    </row>
    <row r="32" spans="1:14" ht="24">
      <c r="A32" s="3003">
        <v>29</v>
      </c>
      <c r="B32" s="3003" t="s">
        <v>3101</v>
      </c>
      <c r="C32" s="3004" t="s">
        <v>3431</v>
      </c>
      <c r="D32" s="3025" t="s">
        <v>4262</v>
      </c>
      <c r="E32" s="3008" t="s">
        <v>4263</v>
      </c>
      <c r="F32" s="3028">
        <v>52.63</v>
      </c>
      <c r="G32" s="3028">
        <v>6.74</v>
      </c>
      <c r="H32" s="3004" t="s">
        <v>1373</v>
      </c>
      <c r="I32" s="3007" t="s">
        <v>3443</v>
      </c>
      <c r="J32" s="3010">
        <f t="shared" si="1"/>
        <v>56156</v>
      </c>
      <c r="K32" s="3007" t="str">
        <f t="shared" si="2"/>
        <v xml:space="preserve">10层 </v>
      </c>
      <c r="L32" s="3007" t="str">
        <f t="shared" ref="L32:L43" si="5">L31</f>
        <v>3层</v>
      </c>
      <c r="N32" s="3002">
        <f t="shared" si="0"/>
        <v>528089</v>
      </c>
    </row>
    <row r="33" spans="1:14" ht="24">
      <c r="A33" s="3003">
        <v>30</v>
      </c>
      <c r="B33" s="3003" t="s">
        <v>3102</v>
      </c>
      <c r="C33" s="3004" t="s">
        <v>4264</v>
      </c>
      <c r="D33" s="3025" t="s">
        <v>4265</v>
      </c>
      <c r="E33" s="3008" t="s">
        <v>4266</v>
      </c>
      <c r="F33" s="3028">
        <v>53</v>
      </c>
      <c r="G33" s="3028">
        <v>6.79</v>
      </c>
      <c r="H33" s="3004" t="s">
        <v>1373</v>
      </c>
      <c r="I33" s="3007" t="s">
        <v>4267</v>
      </c>
      <c r="J33" s="3010">
        <f t="shared" si="1"/>
        <v>56156</v>
      </c>
      <c r="K33" s="3007" t="str">
        <f t="shared" si="2"/>
        <v xml:space="preserve">10层 </v>
      </c>
      <c r="L33" s="3007" t="str">
        <f t="shared" si="5"/>
        <v>3层</v>
      </c>
      <c r="N33" s="3002">
        <f t="shared" si="0"/>
        <v>531802</v>
      </c>
    </row>
    <row r="34" spans="1:14" ht="24">
      <c r="A34" s="3003">
        <v>31</v>
      </c>
      <c r="B34" s="3003" t="s">
        <v>3103</v>
      </c>
      <c r="C34" s="3004" t="s">
        <v>3527</v>
      </c>
      <c r="D34" s="3025" t="s">
        <v>4268</v>
      </c>
      <c r="E34" s="3008" t="s">
        <v>4269</v>
      </c>
      <c r="F34" s="3028">
        <v>65.540000000000006</v>
      </c>
      <c r="G34" s="3028">
        <v>8.39</v>
      </c>
      <c r="H34" s="3004" t="s">
        <v>1373</v>
      </c>
      <c r="I34" s="3007" t="s">
        <v>3530</v>
      </c>
      <c r="J34" s="3010">
        <f t="shared" si="1"/>
        <v>56156</v>
      </c>
      <c r="K34" s="3007" t="str">
        <f t="shared" si="2"/>
        <v xml:space="preserve">10层 </v>
      </c>
      <c r="L34" s="3007" t="str">
        <f t="shared" si="5"/>
        <v>3层</v>
      </c>
      <c r="N34" s="3002">
        <f t="shared" si="0"/>
        <v>657628</v>
      </c>
    </row>
    <row r="35" spans="1:14" ht="24">
      <c r="A35" s="3003">
        <v>32</v>
      </c>
      <c r="B35" s="3003" t="s">
        <v>3104</v>
      </c>
      <c r="C35" s="3004" t="s">
        <v>4270</v>
      </c>
      <c r="D35" s="3025" t="s">
        <v>4271</v>
      </c>
      <c r="E35" s="3008" t="s">
        <v>4272</v>
      </c>
      <c r="F35" s="3028">
        <v>55.88</v>
      </c>
      <c r="G35" s="3028">
        <v>7.16</v>
      </c>
      <c r="H35" s="3004" t="s">
        <v>1373</v>
      </c>
      <c r="I35" s="3007" t="s">
        <v>4273</v>
      </c>
      <c r="J35" s="3010">
        <f t="shared" si="1"/>
        <v>56156</v>
      </c>
      <c r="K35" s="3007" t="str">
        <f t="shared" si="2"/>
        <v xml:space="preserve">10层 </v>
      </c>
      <c r="L35" s="3007" t="str">
        <f t="shared" si="5"/>
        <v>3层</v>
      </c>
      <c r="N35" s="3002">
        <f t="shared" si="0"/>
        <v>560700</v>
      </c>
    </row>
    <row r="36" spans="1:14" ht="24">
      <c r="A36" s="3003">
        <v>33</v>
      </c>
      <c r="B36" s="3003" t="s">
        <v>3105</v>
      </c>
      <c r="C36" s="3004" t="s">
        <v>4274</v>
      </c>
      <c r="D36" s="3025" t="s">
        <v>4275</v>
      </c>
      <c r="E36" s="3008" t="s">
        <v>4276</v>
      </c>
      <c r="F36" s="3028">
        <v>94.49</v>
      </c>
      <c r="G36" s="3028">
        <v>12.1</v>
      </c>
      <c r="H36" s="3004" t="s">
        <v>1373</v>
      </c>
      <c r="I36" s="3007" t="s">
        <v>4277</v>
      </c>
      <c r="J36" s="3010">
        <f t="shared" si="1"/>
        <v>56156</v>
      </c>
      <c r="K36" s="3007" t="str">
        <f t="shared" si="2"/>
        <v xml:space="preserve">10层 </v>
      </c>
      <c r="L36" s="3007" t="str">
        <f t="shared" si="5"/>
        <v>3层</v>
      </c>
      <c r="N36" s="3002">
        <f t="shared" si="0"/>
        <v>948113</v>
      </c>
    </row>
    <row r="37" spans="1:14" ht="24">
      <c r="A37" s="3003">
        <v>34</v>
      </c>
      <c r="B37" s="3003" t="s">
        <v>3106</v>
      </c>
      <c r="C37" s="3004" t="s">
        <v>3527</v>
      </c>
      <c r="D37" s="3025" t="s">
        <v>4278</v>
      </c>
      <c r="E37" s="3008" t="s">
        <v>4279</v>
      </c>
      <c r="F37" s="3028">
        <v>94.49</v>
      </c>
      <c r="G37" s="3028">
        <v>12.1</v>
      </c>
      <c r="H37" s="3004" t="s">
        <v>1373</v>
      </c>
      <c r="I37" s="3007" t="s">
        <v>3530</v>
      </c>
      <c r="J37" s="3010">
        <f t="shared" si="1"/>
        <v>56156</v>
      </c>
      <c r="K37" s="3007" t="str">
        <f t="shared" si="2"/>
        <v xml:space="preserve">10层 </v>
      </c>
      <c r="L37" s="3007" t="str">
        <f t="shared" si="5"/>
        <v>3层</v>
      </c>
      <c r="N37" s="3002">
        <f t="shared" si="0"/>
        <v>948113</v>
      </c>
    </row>
    <row r="38" spans="1:14" ht="24">
      <c r="A38" s="3003">
        <v>35</v>
      </c>
      <c r="B38" s="3003" t="s">
        <v>3107</v>
      </c>
      <c r="C38" s="3004" t="s">
        <v>4280</v>
      </c>
      <c r="D38" s="3025" t="s">
        <v>4281</v>
      </c>
      <c r="E38" s="3008" t="s">
        <v>4282</v>
      </c>
      <c r="F38" s="3028">
        <v>55.88</v>
      </c>
      <c r="G38" s="3028">
        <v>7.16</v>
      </c>
      <c r="H38" s="3004" t="s">
        <v>1373</v>
      </c>
      <c r="I38" s="3007" t="s">
        <v>4283</v>
      </c>
      <c r="J38" s="3010">
        <f t="shared" si="1"/>
        <v>56156</v>
      </c>
      <c r="K38" s="3007" t="str">
        <f t="shared" si="2"/>
        <v xml:space="preserve">10层 </v>
      </c>
      <c r="L38" s="3007" t="str">
        <f t="shared" si="5"/>
        <v>3层</v>
      </c>
      <c r="N38" s="3002">
        <f t="shared" si="0"/>
        <v>560700</v>
      </c>
    </row>
    <row r="39" spans="1:14" ht="24">
      <c r="A39" s="3003">
        <v>36</v>
      </c>
      <c r="B39" s="3003" t="s">
        <v>3108</v>
      </c>
      <c r="C39" s="3004" t="s">
        <v>4186</v>
      </c>
      <c r="D39" s="3025" t="s">
        <v>4284</v>
      </c>
      <c r="E39" s="3008" t="s">
        <v>4285</v>
      </c>
      <c r="F39" s="3028">
        <v>65.540000000000006</v>
      </c>
      <c r="G39" s="3028">
        <v>8.39</v>
      </c>
      <c r="H39" s="3004" t="s">
        <v>1373</v>
      </c>
      <c r="I39" s="3007" t="s">
        <v>4286</v>
      </c>
      <c r="J39" s="3010">
        <f t="shared" si="1"/>
        <v>56156</v>
      </c>
      <c r="K39" s="3007" t="str">
        <f t="shared" si="2"/>
        <v xml:space="preserve">10层 </v>
      </c>
      <c r="L39" s="3007" t="str">
        <f t="shared" si="5"/>
        <v>3层</v>
      </c>
      <c r="N39" s="3002">
        <f t="shared" si="0"/>
        <v>657628</v>
      </c>
    </row>
    <row r="40" spans="1:14" ht="24">
      <c r="A40" s="3003">
        <v>37</v>
      </c>
      <c r="B40" s="3003" t="s">
        <v>3109</v>
      </c>
      <c r="C40" s="3004" t="s">
        <v>3527</v>
      </c>
      <c r="D40" s="3025" t="s">
        <v>4287</v>
      </c>
      <c r="E40" s="3008" t="s">
        <v>4288</v>
      </c>
      <c r="F40" s="3028">
        <v>53</v>
      </c>
      <c r="G40" s="3028">
        <v>6.79</v>
      </c>
      <c r="H40" s="3004" t="s">
        <v>1373</v>
      </c>
      <c r="I40" s="3007" t="s">
        <v>3530</v>
      </c>
      <c r="J40" s="3010">
        <f t="shared" si="1"/>
        <v>56156</v>
      </c>
      <c r="K40" s="3007" t="str">
        <f t="shared" si="2"/>
        <v xml:space="preserve">10层 </v>
      </c>
      <c r="L40" s="3007" t="str">
        <f t="shared" si="5"/>
        <v>3层</v>
      </c>
      <c r="N40" s="3002">
        <f t="shared" si="0"/>
        <v>531802</v>
      </c>
    </row>
    <row r="41" spans="1:14" ht="24">
      <c r="A41" s="3003">
        <v>38</v>
      </c>
      <c r="B41" s="3003" t="s">
        <v>3110</v>
      </c>
      <c r="C41" s="3004" t="s">
        <v>3993</v>
      </c>
      <c r="D41" s="3025" t="s">
        <v>4289</v>
      </c>
      <c r="E41" s="3008" t="s">
        <v>4290</v>
      </c>
      <c r="F41" s="3028">
        <v>52.63</v>
      </c>
      <c r="G41" s="3028">
        <v>6.74</v>
      </c>
      <c r="H41" s="3004" t="s">
        <v>1373</v>
      </c>
      <c r="I41" s="3007" t="s">
        <v>4291</v>
      </c>
      <c r="J41" s="3010">
        <f t="shared" si="1"/>
        <v>56156</v>
      </c>
      <c r="K41" s="3007" t="str">
        <f t="shared" si="2"/>
        <v xml:space="preserve">10层 </v>
      </c>
      <c r="L41" s="3007" t="str">
        <f t="shared" si="5"/>
        <v>3层</v>
      </c>
      <c r="N41" s="3002">
        <f t="shared" si="0"/>
        <v>528089</v>
      </c>
    </row>
    <row r="42" spans="1:14" ht="24">
      <c r="A42" s="3003">
        <v>39</v>
      </c>
      <c r="B42" s="3003" t="s">
        <v>3111</v>
      </c>
      <c r="C42" s="3004" t="s">
        <v>3527</v>
      </c>
      <c r="D42" s="3025" t="s">
        <v>4292</v>
      </c>
      <c r="E42" s="3008" t="s">
        <v>4293</v>
      </c>
      <c r="F42" s="3028">
        <v>52.74</v>
      </c>
      <c r="G42" s="3028">
        <v>6.76</v>
      </c>
      <c r="H42" s="3004" t="s">
        <v>1373</v>
      </c>
      <c r="I42" s="3007" t="s">
        <v>3530</v>
      </c>
      <c r="J42" s="3010">
        <f t="shared" si="1"/>
        <v>56156</v>
      </c>
      <c r="K42" s="3007" t="str">
        <f t="shared" si="2"/>
        <v xml:space="preserve">10层 </v>
      </c>
      <c r="L42" s="3007" t="str">
        <f t="shared" si="5"/>
        <v>3层</v>
      </c>
      <c r="N42" s="3002">
        <f t="shared" si="0"/>
        <v>529193</v>
      </c>
    </row>
    <row r="43" spans="1:14" ht="24">
      <c r="A43" s="3003">
        <v>40</v>
      </c>
      <c r="B43" s="3003" t="s">
        <v>3112</v>
      </c>
      <c r="C43" s="3004" t="s">
        <v>3993</v>
      </c>
      <c r="D43" s="3025" t="s">
        <v>4294</v>
      </c>
      <c r="E43" s="3008" t="s">
        <v>4295</v>
      </c>
      <c r="F43" s="3028">
        <v>72.180000000000007</v>
      </c>
      <c r="G43" s="3028">
        <v>9.25</v>
      </c>
      <c r="H43" s="3004" t="s">
        <v>1373</v>
      </c>
      <c r="I43" s="3007" t="s">
        <v>4291</v>
      </c>
      <c r="J43" s="3010">
        <f t="shared" si="1"/>
        <v>56156</v>
      </c>
      <c r="K43" s="3007" t="str">
        <f t="shared" si="2"/>
        <v xml:space="preserve">10层 </v>
      </c>
      <c r="L43" s="3007" t="str">
        <f t="shared" si="5"/>
        <v>3层</v>
      </c>
      <c r="N43" s="3002">
        <f t="shared" si="0"/>
        <v>724254</v>
      </c>
    </row>
    <row r="44" spans="1:14" ht="24">
      <c r="A44" s="3003">
        <v>41</v>
      </c>
      <c r="B44" s="3003" t="s">
        <v>3121</v>
      </c>
      <c r="C44" s="3004" t="s">
        <v>3621</v>
      </c>
      <c r="D44" s="3025" t="s">
        <v>4296</v>
      </c>
      <c r="E44" s="3008" t="s">
        <v>4297</v>
      </c>
      <c r="F44" s="3028">
        <v>68.27</v>
      </c>
      <c r="G44" s="3028">
        <v>8.74</v>
      </c>
      <c r="H44" s="3004" t="s">
        <v>1373</v>
      </c>
      <c r="I44" s="3007" t="s">
        <v>3665</v>
      </c>
      <c r="J44" s="3010">
        <f t="shared" si="1"/>
        <v>56156</v>
      </c>
      <c r="K44" s="3007" t="str">
        <f t="shared" si="2"/>
        <v xml:space="preserve">10层 </v>
      </c>
      <c r="L44" s="3007" t="s">
        <v>4298</v>
      </c>
      <c r="N44" s="3002">
        <f t="shared" si="0"/>
        <v>685021</v>
      </c>
    </row>
    <row r="45" spans="1:14" ht="24">
      <c r="A45" s="3003">
        <v>42</v>
      </c>
      <c r="B45" s="3003" t="s">
        <v>3122</v>
      </c>
      <c r="C45" s="3004" t="s">
        <v>4186</v>
      </c>
      <c r="D45" s="3025" t="s">
        <v>4299</v>
      </c>
      <c r="E45" s="3008" t="s">
        <v>4300</v>
      </c>
      <c r="F45" s="3028">
        <v>52.74</v>
      </c>
      <c r="G45" s="3028">
        <v>6.76</v>
      </c>
      <c r="H45" s="3004" t="s">
        <v>1373</v>
      </c>
      <c r="I45" s="3007" t="s">
        <v>3665</v>
      </c>
      <c r="J45" s="3010">
        <f t="shared" si="1"/>
        <v>56156</v>
      </c>
      <c r="K45" s="3007" t="str">
        <f t="shared" si="2"/>
        <v xml:space="preserve">10层 </v>
      </c>
      <c r="L45" s="3007" t="str">
        <f>L44</f>
        <v>4层</v>
      </c>
      <c r="N45" s="3002">
        <f t="shared" si="0"/>
        <v>529193</v>
      </c>
    </row>
    <row r="46" spans="1:14" ht="24">
      <c r="A46" s="3003">
        <v>43</v>
      </c>
      <c r="B46" s="3003" t="s">
        <v>3123</v>
      </c>
      <c r="C46" s="3004" t="s">
        <v>3527</v>
      </c>
      <c r="D46" s="3025" t="s">
        <v>4301</v>
      </c>
      <c r="E46" s="3008" t="s">
        <v>4302</v>
      </c>
      <c r="F46" s="3028">
        <v>52.63</v>
      </c>
      <c r="G46" s="3028">
        <v>6.74</v>
      </c>
      <c r="H46" s="3004" t="s">
        <v>1373</v>
      </c>
      <c r="I46" s="3007" t="s">
        <v>3530</v>
      </c>
      <c r="J46" s="3010">
        <f t="shared" si="1"/>
        <v>56156</v>
      </c>
      <c r="K46" s="3007" t="str">
        <f t="shared" si="2"/>
        <v xml:space="preserve">10层 </v>
      </c>
      <c r="L46" s="3007" t="str">
        <f t="shared" ref="L46:L57" si="6">L45</f>
        <v>4层</v>
      </c>
      <c r="N46" s="3002">
        <f t="shared" si="0"/>
        <v>528089</v>
      </c>
    </row>
    <row r="47" spans="1:14" ht="24">
      <c r="A47" s="3003">
        <v>44</v>
      </c>
      <c r="B47" s="3003" t="s">
        <v>3124</v>
      </c>
      <c r="C47" s="3004" t="s">
        <v>3527</v>
      </c>
      <c r="D47" s="3025" t="s">
        <v>4303</v>
      </c>
      <c r="E47" s="3008" t="s">
        <v>4304</v>
      </c>
      <c r="F47" s="3028">
        <v>53</v>
      </c>
      <c r="G47" s="3028">
        <v>6.79</v>
      </c>
      <c r="H47" s="3004" t="s">
        <v>1373</v>
      </c>
      <c r="I47" s="3007" t="s">
        <v>3530</v>
      </c>
      <c r="J47" s="3010">
        <f t="shared" si="1"/>
        <v>56156</v>
      </c>
      <c r="K47" s="3007" t="str">
        <f t="shared" si="2"/>
        <v xml:space="preserve">10层 </v>
      </c>
      <c r="L47" s="3007" t="str">
        <f t="shared" si="6"/>
        <v>4层</v>
      </c>
      <c r="N47" s="3002">
        <f t="shared" si="0"/>
        <v>531802</v>
      </c>
    </row>
    <row r="48" spans="1:14" ht="24">
      <c r="A48" s="3003">
        <v>45</v>
      </c>
      <c r="B48" s="3003" t="s">
        <v>3125</v>
      </c>
      <c r="C48" s="3004" t="s">
        <v>4280</v>
      </c>
      <c r="D48" s="3025" t="s">
        <v>4305</v>
      </c>
      <c r="E48" s="3008" t="s">
        <v>4306</v>
      </c>
      <c r="F48" s="3028">
        <v>65.540000000000006</v>
      </c>
      <c r="G48" s="3028">
        <v>8.39</v>
      </c>
      <c r="H48" s="3004" t="s">
        <v>1373</v>
      </c>
      <c r="I48" s="3007" t="s">
        <v>4283</v>
      </c>
      <c r="J48" s="3010">
        <f t="shared" si="1"/>
        <v>56156</v>
      </c>
      <c r="K48" s="3007" t="str">
        <f t="shared" si="2"/>
        <v xml:space="preserve">10层 </v>
      </c>
      <c r="L48" s="3007" t="str">
        <f t="shared" si="6"/>
        <v>4层</v>
      </c>
      <c r="N48" s="3002">
        <f t="shared" si="0"/>
        <v>657628</v>
      </c>
    </row>
    <row r="49" spans="1:14" ht="24">
      <c r="A49" s="3003">
        <v>46</v>
      </c>
      <c r="B49" s="3003" t="s">
        <v>3126</v>
      </c>
      <c r="C49" s="3004" t="s">
        <v>3993</v>
      </c>
      <c r="D49" s="3025" t="s">
        <v>4307</v>
      </c>
      <c r="E49" s="3008" t="s">
        <v>4308</v>
      </c>
      <c r="F49" s="3028">
        <v>55.88</v>
      </c>
      <c r="G49" s="3028">
        <v>7.16</v>
      </c>
      <c r="H49" s="3004" t="s">
        <v>1373</v>
      </c>
      <c r="I49" s="3007" t="s">
        <v>4291</v>
      </c>
      <c r="J49" s="3010">
        <f t="shared" si="1"/>
        <v>56156</v>
      </c>
      <c r="K49" s="3007" t="str">
        <f t="shared" si="2"/>
        <v xml:space="preserve">10层 </v>
      </c>
      <c r="L49" s="3007" t="str">
        <f t="shared" si="6"/>
        <v>4层</v>
      </c>
      <c r="N49" s="3002">
        <f t="shared" si="0"/>
        <v>560700</v>
      </c>
    </row>
    <row r="50" spans="1:14" ht="24">
      <c r="A50" s="3003">
        <v>47</v>
      </c>
      <c r="B50" s="3003" t="s">
        <v>3127</v>
      </c>
      <c r="C50" s="3004" t="s">
        <v>3527</v>
      </c>
      <c r="D50" s="3025" t="s">
        <v>4309</v>
      </c>
      <c r="E50" s="3008" t="s">
        <v>4310</v>
      </c>
      <c r="F50" s="3028">
        <v>94.49</v>
      </c>
      <c r="G50" s="3028">
        <v>12.1</v>
      </c>
      <c r="H50" s="3004" t="s">
        <v>1373</v>
      </c>
      <c r="I50" s="3007" t="s">
        <v>3530</v>
      </c>
      <c r="J50" s="3010">
        <f t="shared" si="1"/>
        <v>56156</v>
      </c>
      <c r="K50" s="3007" t="str">
        <f t="shared" si="2"/>
        <v xml:space="preserve">10层 </v>
      </c>
      <c r="L50" s="3007" t="str">
        <f t="shared" si="6"/>
        <v>4层</v>
      </c>
      <c r="N50" s="3002">
        <f t="shared" si="0"/>
        <v>948113</v>
      </c>
    </row>
    <row r="51" spans="1:14" ht="24">
      <c r="A51" s="3003">
        <v>48</v>
      </c>
      <c r="B51" s="3003" t="s">
        <v>3128</v>
      </c>
      <c r="C51" s="3004" t="s">
        <v>3840</v>
      </c>
      <c r="D51" s="3025" t="s">
        <v>4311</v>
      </c>
      <c r="E51" s="3008" t="s">
        <v>4312</v>
      </c>
      <c r="F51" s="3028">
        <v>94.49</v>
      </c>
      <c r="G51" s="3028">
        <v>12.1</v>
      </c>
      <c r="H51" s="3004" t="s">
        <v>1373</v>
      </c>
      <c r="I51" s="3007" t="s">
        <v>3843</v>
      </c>
      <c r="J51" s="3010">
        <f t="shared" si="1"/>
        <v>56156</v>
      </c>
      <c r="K51" s="3007" t="str">
        <f t="shared" si="2"/>
        <v xml:space="preserve">10层 </v>
      </c>
      <c r="L51" s="3007" t="str">
        <f t="shared" si="6"/>
        <v>4层</v>
      </c>
      <c r="N51" s="3002">
        <f t="shared" si="0"/>
        <v>948113</v>
      </c>
    </row>
    <row r="52" spans="1:14" ht="24">
      <c r="A52" s="3003">
        <v>49</v>
      </c>
      <c r="B52" s="3003" t="s">
        <v>3129</v>
      </c>
      <c r="C52" s="3004" t="s">
        <v>3527</v>
      </c>
      <c r="D52" s="3025" t="s">
        <v>4313</v>
      </c>
      <c r="E52" s="3008" t="s">
        <v>4314</v>
      </c>
      <c r="F52" s="3028">
        <v>55.88</v>
      </c>
      <c r="G52" s="3028">
        <v>7.16</v>
      </c>
      <c r="H52" s="3004" t="s">
        <v>1373</v>
      </c>
      <c r="I52" s="3007" t="s">
        <v>3530</v>
      </c>
      <c r="J52" s="3010">
        <f t="shared" si="1"/>
        <v>56156</v>
      </c>
      <c r="K52" s="3007" t="str">
        <f t="shared" si="2"/>
        <v xml:space="preserve">10层 </v>
      </c>
      <c r="L52" s="3007" t="str">
        <f t="shared" si="6"/>
        <v>4层</v>
      </c>
      <c r="N52" s="3002">
        <f t="shared" si="0"/>
        <v>560700</v>
      </c>
    </row>
    <row r="53" spans="1:14" ht="24">
      <c r="A53" s="3003">
        <v>50</v>
      </c>
      <c r="B53" s="3003" t="s">
        <v>3130</v>
      </c>
      <c r="C53" s="3004" t="s">
        <v>4280</v>
      </c>
      <c r="D53" s="3025" t="s">
        <v>4315</v>
      </c>
      <c r="E53" s="3008" t="s">
        <v>4316</v>
      </c>
      <c r="F53" s="3028">
        <v>65.540000000000006</v>
      </c>
      <c r="G53" s="3028">
        <v>8.39</v>
      </c>
      <c r="H53" s="3004" t="s">
        <v>1373</v>
      </c>
      <c r="I53" s="3007" t="s">
        <v>4283</v>
      </c>
      <c r="J53" s="3010">
        <f t="shared" si="1"/>
        <v>56156</v>
      </c>
      <c r="K53" s="3007" t="str">
        <f t="shared" si="2"/>
        <v xml:space="preserve">10层 </v>
      </c>
      <c r="L53" s="3007" t="str">
        <f t="shared" si="6"/>
        <v>4层</v>
      </c>
      <c r="N53" s="3002">
        <f t="shared" si="0"/>
        <v>657628</v>
      </c>
    </row>
    <row r="54" spans="1:14" ht="24">
      <c r="A54" s="3003">
        <v>51</v>
      </c>
      <c r="B54" s="3003" t="s">
        <v>3131</v>
      </c>
      <c r="C54" s="3004" t="s">
        <v>4317</v>
      </c>
      <c r="D54" s="3025" t="s">
        <v>4318</v>
      </c>
      <c r="E54" s="3008" t="s">
        <v>4319</v>
      </c>
      <c r="F54" s="3028">
        <v>53</v>
      </c>
      <c r="G54" s="3028">
        <v>6.79</v>
      </c>
      <c r="H54" s="3004" t="s">
        <v>1373</v>
      </c>
      <c r="I54" s="3007" t="s">
        <v>4320</v>
      </c>
      <c r="J54" s="3010">
        <f t="shared" si="1"/>
        <v>56156</v>
      </c>
      <c r="K54" s="3007" t="str">
        <f t="shared" si="2"/>
        <v xml:space="preserve">10层 </v>
      </c>
      <c r="L54" s="3007" t="str">
        <f t="shared" si="6"/>
        <v>4层</v>
      </c>
      <c r="N54" s="3002">
        <f t="shared" si="0"/>
        <v>531802</v>
      </c>
    </row>
    <row r="55" spans="1:14" ht="24">
      <c r="A55" s="3003">
        <v>52</v>
      </c>
      <c r="B55" s="3003" t="s">
        <v>3132</v>
      </c>
      <c r="C55" s="3004" t="s">
        <v>3527</v>
      </c>
      <c r="D55" s="3025" t="s">
        <v>4321</v>
      </c>
      <c r="E55" s="3008" t="s">
        <v>4322</v>
      </c>
      <c r="F55" s="3028">
        <v>52.63</v>
      </c>
      <c r="G55" s="3028">
        <v>6.74</v>
      </c>
      <c r="H55" s="3004" t="s">
        <v>1373</v>
      </c>
      <c r="I55" s="3007" t="s">
        <v>3530</v>
      </c>
      <c r="J55" s="3010">
        <f t="shared" si="1"/>
        <v>56156</v>
      </c>
      <c r="K55" s="3007" t="str">
        <f t="shared" si="2"/>
        <v xml:space="preserve">10层 </v>
      </c>
      <c r="L55" s="3007" t="str">
        <f t="shared" si="6"/>
        <v>4层</v>
      </c>
      <c r="N55" s="3002">
        <f t="shared" si="0"/>
        <v>528089</v>
      </c>
    </row>
    <row r="56" spans="1:14" ht="24">
      <c r="A56" s="3003">
        <v>53</v>
      </c>
      <c r="B56" s="3003" t="s">
        <v>3133</v>
      </c>
      <c r="C56" s="3004" t="s">
        <v>4280</v>
      </c>
      <c r="D56" s="3025" t="s">
        <v>4323</v>
      </c>
      <c r="E56" s="3008" t="s">
        <v>4324</v>
      </c>
      <c r="F56" s="3028">
        <v>52.74</v>
      </c>
      <c r="G56" s="3028">
        <v>6.76</v>
      </c>
      <c r="H56" s="3004" t="s">
        <v>1373</v>
      </c>
      <c r="I56" s="3007" t="s">
        <v>4283</v>
      </c>
      <c r="J56" s="3010">
        <f t="shared" si="1"/>
        <v>56156</v>
      </c>
      <c r="K56" s="3007" t="str">
        <f t="shared" si="2"/>
        <v xml:space="preserve">10层 </v>
      </c>
      <c r="L56" s="3007" t="str">
        <f t="shared" si="6"/>
        <v>4层</v>
      </c>
      <c r="N56" s="3002">
        <f t="shared" si="0"/>
        <v>529193</v>
      </c>
    </row>
    <row r="57" spans="1:14" ht="24">
      <c r="A57" s="3003">
        <v>54</v>
      </c>
      <c r="B57" s="3003" t="s">
        <v>3134</v>
      </c>
      <c r="C57" s="3004" t="s">
        <v>3527</v>
      </c>
      <c r="D57" s="3025" t="s">
        <v>4325</v>
      </c>
      <c r="E57" s="3008" t="s">
        <v>4326</v>
      </c>
      <c r="F57" s="3028">
        <v>72.180000000000007</v>
      </c>
      <c r="G57" s="3028">
        <v>9.25</v>
      </c>
      <c r="H57" s="3004" t="s">
        <v>1373</v>
      </c>
      <c r="I57" s="3007" t="s">
        <v>3530</v>
      </c>
      <c r="J57" s="3010">
        <f t="shared" si="1"/>
        <v>56156</v>
      </c>
      <c r="K57" s="3007" t="str">
        <f t="shared" si="2"/>
        <v xml:space="preserve">10层 </v>
      </c>
      <c r="L57" s="3007" t="str">
        <f t="shared" si="6"/>
        <v>4层</v>
      </c>
      <c r="N57" s="3002">
        <f t="shared" si="0"/>
        <v>724254</v>
      </c>
    </row>
    <row r="58" spans="1:14" ht="24">
      <c r="A58" s="3003">
        <v>55</v>
      </c>
      <c r="B58" s="3003" t="s">
        <v>3143</v>
      </c>
      <c r="C58" s="3004" t="s">
        <v>3621</v>
      </c>
      <c r="D58" s="3025" t="s">
        <v>4327</v>
      </c>
      <c r="E58" s="3008" t="s">
        <v>4328</v>
      </c>
      <c r="F58" s="3028">
        <v>68.27</v>
      </c>
      <c r="G58" s="3028">
        <v>8.74</v>
      </c>
      <c r="H58" s="3004" t="s">
        <v>1373</v>
      </c>
      <c r="I58" s="3007" t="s">
        <v>3665</v>
      </c>
      <c r="J58" s="3010">
        <f t="shared" si="1"/>
        <v>56156</v>
      </c>
      <c r="K58" s="3007" t="str">
        <f t="shared" si="2"/>
        <v xml:space="preserve">10层 </v>
      </c>
      <c r="L58" s="3007" t="s">
        <v>4329</v>
      </c>
      <c r="N58" s="3002">
        <f t="shared" si="0"/>
        <v>685021</v>
      </c>
    </row>
    <row r="59" spans="1:14" ht="24">
      <c r="A59" s="3003">
        <v>56</v>
      </c>
      <c r="B59" s="3003" t="s">
        <v>3144</v>
      </c>
      <c r="C59" s="3004" t="s">
        <v>3993</v>
      </c>
      <c r="D59" s="3025" t="s">
        <v>4330</v>
      </c>
      <c r="E59" s="3008" t="s">
        <v>4331</v>
      </c>
      <c r="F59" s="3028">
        <v>52.74</v>
      </c>
      <c r="G59" s="3028">
        <v>6.76</v>
      </c>
      <c r="H59" s="3004" t="s">
        <v>1373</v>
      </c>
      <c r="I59" s="3007" t="s">
        <v>4291</v>
      </c>
      <c r="J59" s="3010">
        <f t="shared" si="1"/>
        <v>56156</v>
      </c>
      <c r="K59" s="3007" t="str">
        <f t="shared" si="2"/>
        <v xml:space="preserve">10层 </v>
      </c>
      <c r="L59" s="3007" t="str">
        <f>L58</f>
        <v>5层</v>
      </c>
      <c r="N59" s="3002">
        <f t="shared" si="0"/>
        <v>529193</v>
      </c>
    </row>
    <row r="60" spans="1:14" ht="24">
      <c r="A60" s="3003">
        <v>57</v>
      </c>
      <c r="B60" s="3003" t="s">
        <v>3145</v>
      </c>
      <c r="C60" s="3004" t="s">
        <v>3527</v>
      </c>
      <c r="D60" s="3025" t="s">
        <v>4332</v>
      </c>
      <c r="E60" s="3008" t="s">
        <v>4333</v>
      </c>
      <c r="F60" s="3028">
        <v>52.63</v>
      </c>
      <c r="G60" s="3028">
        <v>6.74</v>
      </c>
      <c r="H60" s="3004" t="s">
        <v>1373</v>
      </c>
      <c r="I60" s="3007" t="s">
        <v>3530</v>
      </c>
      <c r="J60" s="3010">
        <f t="shared" si="1"/>
        <v>56156</v>
      </c>
      <c r="K60" s="3007" t="str">
        <f t="shared" si="2"/>
        <v xml:space="preserve">10层 </v>
      </c>
      <c r="L60" s="3007" t="str">
        <f t="shared" ref="L60:L71" si="7">L59</f>
        <v>5层</v>
      </c>
      <c r="N60" s="3002">
        <f t="shared" si="0"/>
        <v>528089</v>
      </c>
    </row>
    <row r="61" spans="1:14" ht="24">
      <c r="A61" s="3003">
        <v>58</v>
      </c>
      <c r="B61" s="3003" t="s">
        <v>3146</v>
      </c>
      <c r="C61" s="3004" t="s">
        <v>4047</v>
      </c>
      <c r="D61" s="3025" t="s">
        <v>4334</v>
      </c>
      <c r="E61" s="3008" t="s">
        <v>4335</v>
      </c>
      <c r="F61" s="3028">
        <v>53</v>
      </c>
      <c r="G61" s="3028">
        <v>6.79</v>
      </c>
      <c r="H61" s="3004" t="s">
        <v>1373</v>
      </c>
      <c r="I61" s="3007" t="s">
        <v>4336</v>
      </c>
      <c r="J61" s="3010">
        <f t="shared" si="1"/>
        <v>56156</v>
      </c>
      <c r="K61" s="3007" t="str">
        <f t="shared" si="2"/>
        <v xml:space="preserve">10层 </v>
      </c>
      <c r="L61" s="3007" t="str">
        <f t="shared" si="7"/>
        <v>5层</v>
      </c>
      <c r="N61" s="3002">
        <f t="shared" si="0"/>
        <v>531802</v>
      </c>
    </row>
    <row r="62" spans="1:14" ht="24">
      <c r="A62" s="3003">
        <v>59</v>
      </c>
      <c r="B62" s="3003" t="s">
        <v>3147</v>
      </c>
      <c r="C62" s="3004" t="s">
        <v>3840</v>
      </c>
      <c r="D62" s="3025" t="s">
        <v>4337</v>
      </c>
      <c r="E62" s="3008" t="s">
        <v>4338</v>
      </c>
      <c r="F62" s="3028">
        <v>65.540000000000006</v>
      </c>
      <c r="G62" s="3028">
        <v>8.39</v>
      </c>
      <c r="H62" s="3004" t="s">
        <v>1373</v>
      </c>
      <c r="I62" s="3007" t="s">
        <v>4336</v>
      </c>
      <c r="J62" s="3010">
        <f t="shared" si="1"/>
        <v>56156</v>
      </c>
      <c r="K62" s="3007" t="str">
        <f t="shared" si="2"/>
        <v xml:space="preserve">10层 </v>
      </c>
      <c r="L62" s="3007" t="str">
        <f t="shared" si="7"/>
        <v>5层</v>
      </c>
      <c r="N62" s="3002">
        <f t="shared" si="0"/>
        <v>657628</v>
      </c>
    </row>
    <row r="63" spans="1:14" ht="24">
      <c r="A63" s="3003">
        <v>60</v>
      </c>
      <c r="B63" s="3003" t="s">
        <v>3148</v>
      </c>
      <c r="C63" s="3004" t="s">
        <v>3840</v>
      </c>
      <c r="D63" s="3025" t="s">
        <v>4339</v>
      </c>
      <c r="E63" s="3008" t="s">
        <v>4340</v>
      </c>
      <c r="F63" s="3028">
        <v>55.88</v>
      </c>
      <c r="G63" s="3028">
        <v>7.16</v>
      </c>
      <c r="H63" s="3004" t="s">
        <v>1373</v>
      </c>
      <c r="I63" s="3007" t="s">
        <v>3843</v>
      </c>
      <c r="J63" s="3010">
        <f t="shared" si="1"/>
        <v>56156</v>
      </c>
      <c r="K63" s="3007" t="str">
        <f t="shared" si="2"/>
        <v xml:space="preserve">10层 </v>
      </c>
      <c r="L63" s="3007" t="str">
        <f t="shared" si="7"/>
        <v>5层</v>
      </c>
      <c r="N63" s="3002">
        <f t="shared" si="0"/>
        <v>560700</v>
      </c>
    </row>
    <row r="64" spans="1:14" ht="24">
      <c r="A64" s="3003">
        <v>61</v>
      </c>
      <c r="B64" s="3003" t="s">
        <v>3149</v>
      </c>
      <c r="C64" s="3004" t="s">
        <v>3527</v>
      </c>
      <c r="D64" s="3025" t="s">
        <v>4341</v>
      </c>
      <c r="E64" s="3008" t="s">
        <v>4342</v>
      </c>
      <c r="F64" s="3028">
        <v>94.49</v>
      </c>
      <c r="G64" s="3028">
        <v>12.1</v>
      </c>
      <c r="H64" s="3004" t="s">
        <v>1373</v>
      </c>
      <c r="I64" s="3007" t="s">
        <v>3530</v>
      </c>
      <c r="J64" s="3010">
        <f t="shared" si="1"/>
        <v>56156</v>
      </c>
      <c r="K64" s="3007" t="str">
        <f t="shared" si="2"/>
        <v xml:space="preserve">10层 </v>
      </c>
      <c r="L64" s="3007" t="str">
        <f t="shared" si="7"/>
        <v>5层</v>
      </c>
      <c r="N64" s="3002">
        <f t="shared" si="0"/>
        <v>948113</v>
      </c>
    </row>
    <row r="65" spans="1:14" ht="24">
      <c r="A65" s="3003">
        <v>62</v>
      </c>
      <c r="B65" s="3003" t="s">
        <v>3150</v>
      </c>
      <c r="C65" s="3004" t="s">
        <v>3999</v>
      </c>
      <c r="D65" s="3025" t="s">
        <v>4343</v>
      </c>
      <c r="E65" s="3008" t="s">
        <v>4344</v>
      </c>
      <c r="F65" s="3028">
        <v>94.49</v>
      </c>
      <c r="G65" s="3028">
        <v>12.1</v>
      </c>
      <c r="H65" s="3004" t="s">
        <v>1373</v>
      </c>
      <c r="I65" s="3007" t="s">
        <v>4345</v>
      </c>
      <c r="J65" s="3010">
        <f t="shared" si="1"/>
        <v>56156</v>
      </c>
      <c r="K65" s="3007" t="str">
        <f t="shared" si="2"/>
        <v xml:space="preserve">10层 </v>
      </c>
      <c r="L65" s="3007" t="str">
        <f t="shared" si="7"/>
        <v>5层</v>
      </c>
      <c r="N65" s="3002">
        <f t="shared" si="0"/>
        <v>948113</v>
      </c>
    </row>
    <row r="66" spans="1:14" ht="24">
      <c r="A66" s="3003">
        <v>63</v>
      </c>
      <c r="B66" s="3003" t="s">
        <v>3151</v>
      </c>
      <c r="C66" s="3004" t="s">
        <v>3621</v>
      </c>
      <c r="D66" s="3025" t="s">
        <v>4346</v>
      </c>
      <c r="E66" s="3008" t="s">
        <v>4347</v>
      </c>
      <c r="F66" s="3028">
        <v>55.88</v>
      </c>
      <c r="G66" s="3028">
        <v>7.16</v>
      </c>
      <c r="H66" s="3004" t="s">
        <v>1373</v>
      </c>
      <c r="I66" s="3007" t="s">
        <v>3665</v>
      </c>
      <c r="J66" s="3010">
        <f t="shared" si="1"/>
        <v>56156</v>
      </c>
      <c r="K66" s="3007" t="str">
        <f t="shared" si="2"/>
        <v xml:space="preserve">10层 </v>
      </c>
      <c r="L66" s="3007" t="str">
        <f t="shared" si="7"/>
        <v>5层</v>
      </c>
      <c r="N66" s="3002">
        <f t="shared" si="0"/>
        <v>560700</v>
      </c>
    </row>
    <row r="67" spans="1:14" ht="24">
      <c r="A67" s="3003">
        <v>64</v>
      </c>
      <c r="B67" s="3003" t="s">
        <v>3152</v>
      </c>
      <c r="C67" s="3004" t="s">
        <v>3993</v>
      </c>
      <c r="D67" s="3025" t="s">
        <v>4348</v>
      </c>
      <c r="E67" s="3008" t="s">
        <v>4349</v>
      </c>
      <c r="F67" s="3028">
        <v>65.540000000000006</v>
      </c>
      <c r="G67" s="3028">
        <v>8.39</v>
      </c>
      <c r="H67" s="3004" t="s">
        <v>1373</v>
      </c>
      <c r="I67" s="3007" t="s">
        <v>4291</v>
      </c>
      <c r="J67" s="3010">
        <f t="shared" si="1"/>
        <v>56156</v>
      </c>
      <c r="K67" s="3007" t="str">
        <f t="shared" si="2"/>
        <v xml:space="preserve">10层 </v>
      </c>
      <c r="L67" s="3007" t="str">
        <f t="shared" si="7"/>
        <v>5层</v>
      </c>
      <c r="N67" s="3002">
        <f t="shared" si="0"/>
        <v>657628</v>
      </c>
    </row>
    <row r="68" spans="1:14" ht="24">
      <c r="A68" s="3003">
        <v>65</v>
      </c>
      <c r="B68" s="3003" t="s">
        <v>3153</v>
      </c>
      <c r="C68" s="3004" t="s">
        <v>3527</v>
      </c>
      <c r="D68" s="3025" t="s">
        <v>4350</v>
      </c>
      <c r="E68" s="3008" t="s">
        <v>4351</v>
      </c>
      <c r="F68" s="3028">
        <v>53</v>
      </c>
      <c r="G68" s="3028">
        <v>6.79</v>
      </c>
      <c r="H68" s="3004" t="s">
        <v>1373</v>
      </c>
      <c r="I68" s="3007" t="s">
        <v>3530</v>
      </c>
      <c r="J68" s="3010">
        <f t="shared" si="1"/>
        <v>56156</v>
      </c>
      <c r="K68" s="3007" t="str">
        <f t="shared" si="2"/>
        <v xml:space="preserve">10层 </v>
      </c>
      <c r="L68" s="3007" t="str">
        <f t="shared" si="7"/>
        <v>5层</v>
      </c>
      <c r="N68" s="3002">
        <f t="shared" si="0"/>
        <v>531802</v>
      </c>
    </row>
    <row r="69" spans="1:14" ht="24">
      <c r="A69" s="3003">
        <v>66</v>
      </c>
      <c r="B69" s="3003" t="s">
        <v>3154</v>
      </c>
      <c r="C69" s="3004" t="s">
        <v>4280</v>
      </c>
      <c r="D69" s="3025" t="s">
        <v>4352</v>
      </c>
      <c r="E69" s="3008" t="s">
        <v>4353</v>
      </c>
      <c r="F69" s="3028">
        <v>52.63</v>
      </c>
      <c r="G69" s="3028">
        <v>6.74</v>
      </c>
      <c r="H69" s="3004" t="s">
        <v>1373</v>
      </c>
      <c r="I69" s="3007" t="s">
        <v>4283</v>
      </c>
      <c r="J69" s="3010">
        <f t="shared" si="1"/>
        <v>56156</v>
      </c>
      <c r="K69" s="3007" t="str">
        <f t="shared" si="2"/>
        <v xml:space="preserve">10层 </v>
      </c>
      <c r="L69" s="3007" t="str">
        <f t="shared" si="7"/>
        <v>5层</v>
      </c>
      <c r="N69" s="3002">
        <f t="shared" ref="N69:N126" si="8">ROUND(F69*$M$4,0)</f>
        <v>528089</v>
      </c>
    </row>
    <row r="70" spans="1:14" ht="24">
      <c r="A70" s="3003">
        <v>67</v>
      </c>
      <c r="B70" s="3003" t="s">
        <v>3155</v>
      </c>
      <c r="C70" s="3004" t="s">
        <v>4354</v>
      </c>
      <c r="D70" s="3025" t="s">
        <v>4355</v>
      </c>
      <c r="E70" s="3008" t="s">
        <v>4356</v>
      </c>
      <c r="F70" s="3028">
        <v>52.74</v>
      </c>
      <c r="G70" s="3028">
        <v>6.76</v>
      </c>
      <c r="H70" s="3004" t="s">
        <v>1373</v>
      </c>
      <c r="I70" s="3007" t="s">
        <v>4357</v>
      </c>
      <c r="J70" s="3010">
        <f t="shared" ref="J70:J126" si="9">$J$4</f>
        <v>56156</v>
      </c>
      <c r="K70" s="3007" t="str">
        <f t="shared" ref="K70:K126" si="10">$K$4</f>
        <v xml:space="preserve">10层 </v>
      </c>
      <c r="L70" s="3007" t="str">
        <f t="shared" si="7"/>
        <v>5层</v>
      </c>
      <c r="N70" s="3002">
        <f t="shared" si="8"/>
        <v>529193</v>
      </c>
    </row>
    <row r="71" spans="1:14" ht="24">
      <c r="A71" s="3003">
        <v>68</v>
      </c>
      <c r="B71" s="3003" t="s">
        <v>3156</v>
      </c>
      <c r="C71" s="3004" t="s">
        <v>3993</v>
      </c>
      <c r="D71" s="3025" t="s">
        <v>4358</v>
      </c>
      <c r="E71" s="3008" t="s">
        <v>4359</v>
      </c>
      <c r="F71" s="3028">
        <v>72.180000000000007</v>
      </c>
      <c r="G71" s="3028">
        <v>9.25</v>
      </c>
      <c r="H71" s="3004" t="s">
        <v>1373</v>
      </c>
      <c r="I71" s="3007" t="s">
        <v>4291</v>
      </c>
      <c r="J71" s="3010">
        <f t="shared" si="9"/>
        <v>56156</v>
      </c>
      <c r="K71" s="3007" t="str">
        <f t="shared" si="10"/>
        <v xml:space="preserve">10层 </v>
      </c>
      <c r="L71" s="3007" t="str">
        <f t="shared" si="7"/>
        <v>5层</v>
      </c>
      <c r="N71" s="3002">
        <f t="shared" si="8"/>
        <v>724254</v>
      </c>
    </row>
    <row r="72" spans="1:14" ht="24">
      <c r="A72" s="3003">
        <v>69</v>
      </c>
      <c r="B72" s="3003" t="s">
        <v>3164</v>
      </c>
      <c r="C72" s="3004" t="s">
        <v>4274</v>
      </c>
      <c r="D72" s="3025" t="s">
        <v>4360</v>
      </c>
      <c r="E72" s="3008" t="s">
        <v>4361</v>
      </c>
      <c r="F72" s="3028">
        <v>68.27</v>
      </c>
      <c r="G72" s="3028">
        <v>8.74</v>
      </c>
      <c r="H72" s="3004" t="s">
        <v>1373</v>
      </c>
      <c r="I72" s="3007" t="s">
        <v>4277</v>
      </c>
      <c r="J72" s="3010">
        <f t="shared" si="9"/>
        <v>56156</v>
      </c>
      <c r="K72" s="3007" t="str">
        <f t="shared" si="10"/>
        <v xml:space="preserve">10层 </v>
      </c>
      <c r="L72" s="3007" t="s">
        <v>3660</v>
      </c>
      <c r="N72" s="3002">
        <f t="shared" si="8"/>
        <v>685021</v>
      </c>
    </row>
    <row r="73" spans="1:14" ht="24">
      <c r="A73" s="3003">
        <v>70</v>
      </c>
      <c r="B73" s="3003" t="s">
        <v>3165</v>
      </c>
      <c r="C73" s="3004" t="s">
        <v>3527</v>
      </c>
      <c r="D73" s="3025" t="s">
        <v>4362</v>
      </c>
      <c r="E73" s="3008" t="s">
        <v>4363</v>
      </c>
      <c r="F73" s="3028">
        <v>52.74</v>
      </c>
      <c r="G73" s="3028">
        <v>6.76</v>
      </c>
      <c r="H73" s="3004" t="s">
        <v>1373</v>
      </c>
      <c r="I73" s="3007" t="s">
        <v>3530</v>
      </c>
      <c r="J73" s="3010">
        <f t="shared" si="9"/>
        <v>56156</v>
      </c>
      <c r="K73" s="3007" t="str">
        <f t="shared" si="10"/>
        <v xml:space="preserve">10层 </v>
      </c>
      <c r="L73" s="3007" t="str">
        <f>L72</f>
        <v>6层</v>
      </c>
      <c r="N73" s="3002">
        <f t="shared" si="8"/>
        <v>529193</v>
      </c>
    </row>
    <row r="74" spans="1:14" ht="24">
      <c r="A74" s="3003">
        <v>71</v>
      </c>
      <c r="B74" s="3003" t="s">
        <v>3166</v>
      </c>
      <c r="C74" s="3004" t="s">
        <v>3527</v>
      </c>
      <c r="D74" s="3025" t="s">
        <v>4364</v>
      </c>
      <c r="E74" s="3008" t="s">
        <v>4365</v>
      </c>
      <c r="F74" s="3028">
        <v>52.63</v>
      </c>
      <c r="G74" s="3028">
        <v>6.74</v>
      </c>
      <c r="H74" s="3004" t="s">
        <v>1373</v>
      </c>
      <c r="I74" s="3007" t="s">
        <v>3530</v>
      </c>
      <c r="J74" s="3010">
        <f t="shared" si="9"/>
        <v>56156</v>
      </c>
      <c r="K74" s="3007" t="str">
        <f t="shared" si="10"/>
        <v xml:space="preserve">10层 </v>
      </c>
      <c r="L74" s="3007" t="str">
        <f t="shared" ref="L74:L85" si="11">L73</f>
        <v>6层</v>
      </c>
      <c r="N74" s="3002">
        <f t="shared" si="8"/>
        <v>528089</v>
      </c>
    </row>
    <row r="75" spans="1:14" ht="24">
      <c r="A75" s="3003">
        <v>72</v>
      </c>
      <c r="B75" s="3003" t="s">
        <v>3167</v>
      </c>
      <c r="C75" s="3004" t="s">
        <v>3527</v>
      </c>
      <c r="D75" s="3025" t="s">
        <v>4366</v>
      </c>
      <c r="E75" s="3008" t="s">
        <v>4367</v>
      </c>
      <c r="F75" s="3028">
        <v>53</v>
      </c>
      <c r="G75" s="3028">
        <v>6.79</v>
      </c>
      <c r="H75" s="3004" t="s">
        <v>1373</v>
      </c>
      <c r="I75" s="3007" t="s">
        <v>3530</v>
      </c>
      <c r="J75" s="3010">
        <f t="shared" si="9"/>
        <v>56156</v>
      </c>
      <c r="K75" s="3007" t="str">
        <f t="shared" si="10"/>
        <v xml:space="preserve">10层 </v>
      </c>
      <c r="L75" s="3007" t="str">
        <f t="shared" si="11"/>
        <v>6层</v>
      </c>
      <c r="N75" s="3002">
        <f t="shared" si="8"/>
        <v>531802</v>
      </c>
    </row>
    <row r="76" spans="1:14" ht="24">
      <c r="A76" s="3003">
        <v>73</v>
      </c>
      <c r="B76" s="3003" t="s">
        <v>3168</v>
      </c>
      <c r="C76" s="3004" t="s">
        <v>4280</v>
      </c>
      <c r="D76" s="3025" t="s">
        <v>4368</v>
      </c>
      <c r="E76" s="3008" t="s">
        <v>4369</v>
      </c>
      <c r="F76" s="3028">
        <v>65.540000000000006</v>
      </c>
      <c r="G76" s="3028">
        <v>8.39</v>
      </c>
      <c r="H76" s="3004" t="s">
        <v>1373</v>
      </c>
      <c r="I76" s="3007" t="s">
        <v>4283</v>
      </c>
      <c r="J76" s="3010">
        <f t="shared" si="9"/>
        <v>56156</v>
      </c>
      <c r="K76" s="3007" t="str">
        <f t="shared" si="10"/>
        <v xml:space="preserve">10层 </v>
      </c>
      <c r="L76" s="3007" t="str">
        <f t="shared" si="11"/>
        <v>6层</v>
      </c>
      <c r="N76" s="3002">
        <f t="shared" si="8"/>
        <v>657628</v>
      </c>
    </row>
    <row r="77" spans="1:14" ht="24">
      <c r="A77" s="3003">
        <v>74</v>
      </c>
      <c r="B77" s="3003" t="s">
        <v>3169</v>
      </c>
      <c r="C77" s="3004" t="s">
        <v>4370</v>
      </c>
      <c r="D77" s="3025" t="s">
        <v>4371</v>
      </c>
      <c r="E77" s="3008" t="s">
        <v>4372</v>
      </c>
      <c r="F77" s="3028">
        <v>55.88</v>
      </c>
      <c r="G77" s="3028">
        <v>7.16</v>
      </c>
      <c r="H77" s="3004" t="s">
        <v>1373</v>
      </c>
      <c r="I77" s="3007" t="s">
        <v>4373</v>
      </c>
      <c r="J77" s="3010">
        <f t="shared" si="9"/>
        <v>56156</v>
      </c>
      <c r="K77" s="3007" t="str">
        <f t="shared" si="10"/>
        <v xml:space="preserve">10层 </v>
      </c>
      <c r="L77" s="3007" t="str">
        <f t="shared" si="11"/>
        <v>6层</v>
      </c>
      <c r="N77" s="3002">
        <f t="shared" si="8"/>
        <v>560700</v>
      </c>
    </row>
    <row r="78" spans="1:14" ht="24">
      <c r="A78" s="3003">
        <v>75</v>
      </c>
      <c r="B78" s="3003" t="s">
        <v>3170</v>
      </c>
      <c r="C78" s="3004" t="s">
        <v>3840</v>
      </c>
      <c r="D78" s="3025" t="s">
        <v>4374</v>
      </c>
      <c r="E78" s="3008" t="s">
        <v>4375</v>
      </c>
      <c r="F78" s="3028">
        <v>94.49</v>
      </c>
      <c r="G78" s="3028">
        <v>12.1</v>
      </c>
      <c r="H78" s="3004" t="s">
        <v>1373</v>
      </c>
      <c r="I78" s="3007" t="s">
        <v>3843</v>
      </c>
      <c r="J78" s="3010">
        <f t="shared" si="9"/>
        <v>56156</v>
      </c>
      <c r="K78" s="3007" t="str">
        <f t="shared" si="10"/>
        <v xml:space="preserve">10层 </v>
      </c>
      <c r="L78" s="3007" t="str">
        <f t="shared" si="11"/>
        <v>6层</v>
      </c>
      <c r="N78" s="3002">
        <f t="shared" si="8"/>
        <v>948113</v>
      </c>
    </row>
    <row r="79" spans="1:14" ht="24">
      <c r="A79" s="3003">
        <v>76</v>
      </c>
      <c r="B79" s="3003" t="s">
        <v>3171</v>
      </c>
      <c r="C79" s="3004" t="s">
        <v>3840</v>
      </c>
      <c r="D79" s="3025" t="s">
        <v>4376</v>
      </c>
      <c r="E79" s="3008" t="s">
        <v>4377</v>
      </c>
      <c r="F79" s="3028">
        <v>94.49</v>
      </c>
      <c r="G79" s="3028">
        <v>12.1</v>
      </c>
      <c r="H79" s="3004" t="s">
        <v>1373</v>
      </c>
      <c r="I79" s="3007" t="s">
        <v>3843</v>
      </c>
      <c r="J79" s="3010">
        <f t="shared" si="9"/>
        <v>56156</v>
      </c>
      <c r="K79" s="3007" t="str">
        <f t="shared" si="10"/>
        <v xml:space="preserve">10层 </v>
      </c>
      <c r="L79" s="3007" t="str">
        <f t="shared" si="11"/>
        <v>6层</v>
      </c>
      <c r="N79" s="3002">
        <f t="shared" si="8"/>
        <v>948113</v>
      </c>
    </row>
    <row r="80" spans="1:14" ht="24">
      <c r="A80" s="3003">
        <v>77</v>
      </c>
      <c r="B80" s="3003" t="s">
        <v>3172</v>
      </c>
      <c r="C80" s="3004" t="s">
        <v>4073</v>
      </c>
      <c r="D80" s="3025" t="s">
        <v>4378</v>
      </c>
      <c r="E80" s="3008" t="s">
        <v>4379</v>
      </c>
      <c r="F80" s="3028">
        <v>55.88</v>
      </c>
      <c r="G80" s="3028">
        <v>7.16</v>
      </c>
      <c r="H80" s="3004" t="s">
        <v>1373</v>
      </c>
      <c r="I80" s="3007" t="s">
        <v>4380</v>
      </c>
      <c r="J80" s="3010">
        <f t="shared" si="9"/>
        <v>56156</v>
      </c>
      <c r="K80" s="3007" t="str">
        <f t="shared" si="10"/>
        <v xml:space="preserve">10层 </v>
      </c>
      <c r="L80" s="3007" t="str">
        <f t="shared" si="11"/>
        <v>6层</v>
      </c>
      <c r="N80" s="3002">
        <f t="shared" si="8"/>
        <v>560700</v>
      </c>
    </row>
    <row r="81" spans="1:14" ht="24">
      <c r="A81" s="3003">
        <v>78</v>
      </c>
      <c r="B81" s="3003" t="s">
        <v>3173</v>
      </c>
      <c r="C81" s="3004" t="s">
        <v>3449</v>
      </c>
      <c r="D81" s="3025" t="s">
        <v>4381</v>
      </c>
      <c r="E81" s="3008" t="s">
        <v>4382</v>
      </c>
      <c r="F81" s="3028">
        <v>65.540000000000006</v>
      </c>
      <c r="G81" s="3028">
        <v>8.39</v>
      </c>
      <c r="H81" s="3004" t="s">
        <v>1373</v>
      </c>
      <c r="I81" s="3007" t="s">
        <v>3448</v>
      </c>
      <c r="J81" s="3010">
        <f t="shared" si="9"/>
        <v>56156</v>
      </c>
      <c r="K81" s="3007" t="str">
        <f t="shared" si="10"/>
        <v xml:space="preserve">10层 </v>
      </c>
      <c r="L81" s="3007" t="str">
        <f t="shared" si="11"/>
        <v>6层</v>
      </c>
      <c r="N81" s="3002">
        <f t="shared" si="8"/>
        <v>657628</v>
      </c>
    </row>
    <row r="82" spans="1:14" ht="24">
      <c r="A82" s="3003">
        <v>79</v>
      </c>
      <c r="B82" s="3003" t="s">
        <v>3174</v>
      </c>
      <c r="C82" s="3004" t="s">
        <v>3621</v>
      </c>
      <c r="D82" s="3025" t="s">
        <v>4383</v>
      </c>
      <c r="E82" s="3008" t="s">
        <v>4384</v>
      </c>
      <c r="F82" s="3028">
        <v>53</v>
      </c>
      <c r="G82" s="3028">
        <v>6.79</v>
      </c>
      <c r="H82" s="3004" t="s">
        <v>1373</v>
      </c>
      <c r="I82" s="3007" t="s">
        <v>3665</v>
      </c>
      <c r="J82" s="3010">
        <f t="shared" si="9"/>
        <v>56156</v>
      </c>
      <c r="K82" s="3007" t="str">
        <f t="shared" si="10"/>
        <v xml:space="preserve">10层 </v>
      </c>
      <c r="L82" s="3007" t="str">
        <f t="shared" si="11"/>
        <v>6层</v>
      </c>
      <c r="N82" s="3002">
        <f t="shared" si="8"/>
        <v>531802</v>
      </c>
    </row>
    <row r="83" spans="1:14" ht="24">
      <c r="A83" s="3003">
        <v>80</v>
      </c>
      <c r="B83" s="3003" t="s">
        <v>3175</v>
      </c>
      <c r="C83" s="3004" t="s">
        <v>4370</v>
      </c>
      <c r="D83" s="3025" t="s">
        <v>4385</v>
      </c>
      <c r="E83" s="3008" t="s">
        <v>4386</v>
      </c>
      <c r="F83" s="3028">
        <v>0</v>
      </c>
      <c r="G83" s="3028">
        <v>0</v>
      </c>
      <c r="H83" s="3004" t="s">
        <v>1373</v>
      </c>
      <c r="I83" s="3007" t="s">
        <v>4373</v>
      </c>
      <c r="J83" s="3010">
        <f t="shared" si="9"/>
        <v>56156</v>
      </c>
      <c r="K83" s="3007" t="str">
        <f t="shared" si="10"/>
        <v xml:space="preserve">10层 </v>
      </c>
      <c r="L83" s="3007" t="str">
        <f t="shared" si="11"/>
        <v>6层</v>
      </c>
      <c r="N83" s="3002">
        <f t="shared" si="8"/>
        <v>0</v>
      </c>
    </row>
    <row r="84" spans="1:14" ht="24">
      <c r="A84" s="3003">
        <v>81</v>
      </c>
      <c r="B84" s="3003" t="s">
        <v>3176</v>
      </c>
      <c r="C84" s="3004" t="s">
        <v>3437</v>
      </c>
      <c r="D84" s="3025" t="s">
        <v>4387</v>
      </c>
      <c r="E84" s="3008" t="s">
        <v>4388</v>
      </c>
      <c r="F84" s="3028">
        <v>52.74</v>
      </c>
      <c r="G84" s="3028">
        <v>6.76</v>
      </c>
      <c r="H84" s="3004" t="s">
        <v>1373</v>
      </c>
      <c r="I84" s="3007" t="s">
        <v>4373</v>
      </c>
      <c r="J84" s="3010">
        <f t="shared" si="9"/>
        <v>56156</v>
      </c>
      <c r="K84" s="3007" t="str">
        <f t="shared" si="10"/>
        <v xml:space="preserve">10层 </v>
      </c>
      <c r="L84" s="3007" t="str">
        <f t="shared" si="11"/>
        <v>6层</v>
      </c>
      <c r="N84" s="3002">
        <f t="shared" si="8"/>
        <v>529193</v>
      </c>
    </row>
    <row r="85" spans="1:14" ht="24">
      <c r="A85" s="3003">
        <v>82</v>
      </c>
      <c r="B85" s="3003" t="s">
        <v>3177</v>
      </c>
      <c r="C85" s="3004" t="s">
        <v>3437</v>
      </c>
      <c r="D85" s="3025" t="s">
        <v>4389</v>
      </c>
      <c r="E85" s="3008" t="s">
        <v>4390</v>
      </c>
      <c r="F85" s="3028">
        <v>72.180000000000007</v>
      </c>
      <c r="G85" s="3028">
        <v>9.25</v>
      </c>
      <c r="H85" s="3004" t="s">
        <v>1373</v>
      </c>
      <c r="I85" s="3007" t="s">
        <v>3434</v>
      </c>
      <c r="J85" s="3010">
        <f t="shared" si="9"/>
        <v>56156</v>
      </c>
      <c r="K85" s="3007" t="str">
        <f t="shared" si="10"/>
        <v xml:space="preserve">10层 </v>
      </c>
      <c r="L85" s="3007" t="str">
        <f t="shared" si="11"/>
        <v>6层</v>
      </c>
      <c r="N85" s="3002">
        <f t="shared" si="8"/>
        <v>724254</v>
      </c>
    </row>
    <row r="86" spans="1:14" ht="24">
      <c r="A86" s="3003">
        <v>83</v>
      </c>
      <c r="B86" s="3003" t="s">
        <v>3185</v>
      </c>
      <c r="C86" s="3004" t="s">
        <v>3840</v>
      </c>
      <c r="D86" s="3025" t="s">
        <v>4391</v>
      </c>
      <c r="E86" s="3008" t="s">
        <v>4392</v>
      </c>
      <c r="F86" s="3028">
        <v>68.63</v>
      </c>
      <c r="G86" s="3028">
        <v>8.7899999999999991</v>
      </c>
      <c r="H86" s="3004" t="s">
        <v>1373</v>
      </c>
      <c r="I86" s="3007" t="s">
        <v>3843</v>
      </c>
      <c r="J86" s="3010">
        <f t="shared" si="9"/>
        <v>56156</v>
      </c>
      <c r="K86" s="3007" t="str">
        <f t="shared" si="10"/>
        <v xml:space="preserve">10层 </v>
      </c>
      <c r="L86" s="3007" t="s">
        <v>4393</v>
      </c>
      <c r="N86" s="3002">
        <f t="shared" si="8"/>
        <v>688633</v>
      </c>
    </row>
    <row r="87" spans="1:14" ht="24">
      <c r="A87" s="3003">
        <v>84</v>
      </c>
      <c r="B87" s="3003" t="s">
        <v>3186</v>
      </c>
      <c r="C87" s="3004" t="s">
        <v>4070</v>
      </c>
      <c r="D87" s="3025" t="s">
        <v>4394</v>
      </c>
      <c r="E87" s="3008" t="s">
        <v>4395</v>
      </c>
      <c r="F87" s="3028">
        <v>53.03</v>
      </c>
      <c r="G87" s="3028">
        <v>6.79</v>
      </c>
      <c r="H87" s="3004" t="s">
        <v>1373</v>
      </c>
      <c r="I87" s="3007" t="s">
        <v>4396</v>
      </c>
      <c r="J87" s="3010">
        <f t="shared" si="9"/>
        <v>56156</v>
      </c>
      <c r="K87" s="3007" t="str">
        <f t="shared" si="10"/>
        <v xml:space="preserve">10层 </v>
      </c>
      <c r="L87" s="3007" t="str">
        <f>L86</f>
        <v>7层</v>
      </c>
      <c r="N87" s="3002">
        <f t="shared" si="8"/>
        <v>532103</v>
      </c>
    </row>
    <row r="88" spans="1:14" ht="24">
      <c r="A88" s="3003">
        <v>85</v>
      </c>
      <c r="B88" s="3003" t="s">
        <v>3187</v>
      </c>
      <c r="C88" s="3004" t="s">
        <v>3621</v>
      </c>
      <c r="D88" s="3025" t="s">
        <v>4397</v>
      </c>
      <c r="E88" s="3008" t="s">
        <v>4398</v>
      </c>
      <c r="F88" s="3028">
        <v>52.91</v>
      </c>
      <c r="G88" s="3028">
        <v>6.78</v>
      </c>
      <c r="H88" s="3004" t="s">
        <v>1373</v>
      </c>
      <c r="I88" s="3007" t="s">
        <v>3665</v>
      </c>
      <c r="J88" s="3010">
        <f t="shared" si="9"/>
        <v>56156</v>
      </c>
      <c r="K88" s="3007" t="str">
        <f t="shared" si="10"/>
        <v xml:space="preserve">10层 </v>
      </c>
      <c r="L88" s="3007" t="str">
        <f t="shared" ref="L88:L99" si="12">L87</f>
        <v>7层</v>
      </c>
      <c r="N88" s="3002">
        <f t="shared" si="8"/>
        <v>530899</v>
      </c>
    </row>
    <row r="89" spans="1:14" ht="24">
      <c r="A89" s="3003">
        <v>86</v>
      </c>
      <c r="B89" s="3003" t="s">
        <v>3188</v>
      </c>
      <c r="C89" s="3004" t="s">
        <v>4399</v>
      </c>
      <c r="D89" s="3025" t="s">
        <v>4400</v>
      </c>
      <c r="E89" s="3008" t="s">
        <v>4401</v>
      </c>
      <c r="F89" s="3028">
        <v>53.28</v>
      </c>
      <c r="G89" s="3028">
        <v>6.82</v>
      </c>
      <c r="H89" s="3004" t="s">
        <v>1373</v>
      </c>
      <c r="I89" s="3007" t="s">
        <v>4402</v>
      </c>
      <c r="J89" s="3010">
        <f t="shared" si="9"/>
        <v>56156</v>
      </c>
      <c r="K89" s="3007" t="str">
        <f t="shared" si="10"/>
        <v xml:space="preserve">10层 </v>
      </c>
      <c r="L89" s="3007" t="str">
        <f t="shared" si="12"/>
        <v>7层</v>
      </c>
      <c r="N89" s="3002">
        <f t="shared" si="8"/>
        <v>534612</v>
      </c>
    </row>
    <row r="90" spans="1:14" ht="24">
      <c r="A90" s="3003">
        <v>87</v>
      </c>
      <c r="B90" s="3003" t="s">
        <v>3189</v>
      </c>
      <c r="C90" s="3004" t="s">
        <v>3993</v>
      </c>
      <c r="D90" s="3025" t="s">
        <v>4403</v>
      </c>
      <c r="E90" s="3008" t="s">
        <v>4404</v>
      </c>
      <c r="F90" s="3028">
        <v>65.89</v>
      </c>
      <c r="G90" s="3028">
        <v>8.44</v>
      </c>
      <c r="H90" s="3004" t="s">
        <v>1373</v>
      </c>
      <c r="I90" s="3007" t="s">
        <v>4291</v>
      </c>
      <c r="J90" s="3010">
        <f t="shared" si="9"/>
        <v>56156</v>
      </c>
      <c r="K90" s="3007" t="str">
        <f t="shared" si="10"/>
        <v xml:space="preserve">10层 </v>
      </c>
      <c r="L90" s="3007" t="str">
        <f t="shared" si="12"/>
        <v>7层</v>
      </c>
      <c r="N90" s="3002">
        <f t="shared" si="8"/>
        <v>661140</v>
      </c>
    </row>
    <row r="91" spans="1:14" ht="24">
      <c r="A91" s="3003">
        <v>88</v>
      </c>
      <c r="B91" s="3003" t="s">
        <v>3190</v>
      </c>
      <c r="C91" s="3004" t="s">
        <v>4047</v>
      </c>
      <c r="D91" s="3025" t="s">
        <v>4405</v>
      </c>
      <c r="E91" s="3008" t="s">
        <v>4406</v>
      </c>
      <c r="F91" s="3028">
        <v>52.1</v>
      </c>
      <c r="G91" s="3028">
        <v>6.67</v>
      </c>
      <c r="H91" s="3004" t="s">
        <v>1373</v>
      </c>
      <c r="I91" s="3007" t="s">
        <v>4336</v>
      </c>
      <c r="J91" s="3010">
        <f t="shared" si="9"/>
        <v>56156</v>
      </c>
      <c r="K91" s="3007" t="str">
        <f t="shared" si="10"/>
        <v xml:space="preserve">10层 </v>
      </c>
      <c r="L91" s="3007" t="str">
        <f t="shared" si="12"/>
        <v>7层</v>
      </c>
      <c r="N91" s="3002">
        <f t="shared" si="8"/>
        <v>522771</v>
      </c>
    </row>
    <row r="92" spans="1:14" ht="24">
      <c r="A92" s="3003">
        <v>89</v>
      </c>
      <c r="B92" s="3003" t="s">
        <v>3191</v>
      </c>
      <c r="C92" s="3004" t="s">
        <v>4186</v>
      </c>
      <c r="D92" s="3025" t="s">
        <v>4407</v>
      </c>
      <c r="E92" s="3008" t="s">
        <v>4408</v>
      </c>
      <c r="F92" s="3028">
        <v>82.84</v>
      </c>
      <c r="G92" s="3028">
        <v>10.61</v>
      </c>
      <c r="H92" s="3004" t="s">
        <v>1373</v>
      </c>
      <c r="I92" s="3007" t="s">
        <v>4336</v>
      </c>
      <c r="J92" s="3010">
        <f t="shared" si="9"/>
        <v>56156</v>
      </c>
      <c r="K92" s="3007" t="str">
        <f t="shared" si="10"/>
        <v xml:space="preserve">10层 </v>
      </c>
      <c r="L92" s="3007" t="str">
        <f t="shared" si="12"/>
        <v>7层</v>
      </c>
      <c r="N92" s="3002">
        <f t="shared" si="8"/>
        <v>831217</v>
      </c>
    </row>
    <row r="93" spans="1:14" ht="24">
      <c r="A93" s="3003">
        <v>90</v>
      </c>
      <c r="B93" s="3003" t="s">
        <v>3192</v>
      </c>
      <c r="C93" s="3004" t="s">
        <v>4186</v>
      </c>
      <c r="D93" s="3025" t="s">
        <v>4409</v>
      </c>
      <c r="E93" s="3008" t="s">
        <v>4410</v>
      </c>
      <c r="F93" s="3028">
        <v>82.84</v>
      </c>
      <c r="G93" s="3028">
        <v>10.61</v>
      </c>
      <c r="H93" s="3004" t="s">
        <v>1373</v>
      </c>
      <c r="I93" s="3007" t="s">
        <v>4286</v>
      </c>
      <c r="J93" s="3010">
        <f t="shared" si="9"/>
        <v>56156</v>
      </c>
      <c r="K93" s="3007" t="str">
        <f t="shared" si="10"/>
        <v xml:space="preserve">10层 </v>
      </c>
      <c r="L93" s="3007" t="str">
        <f t="shared" si="12"/>
        <v>7层</v>
      </c>
      <c r="N93" s="3002">
        <f t="shared" si="8"/>
        <v>831217</v>
      </c>
    </row>
    <row r="94" spans="1:14" ht="24">
      <c r="A94" s="3003">
        <v>91</v>
      </c>
      <c r="B94" s="3003" t="s">
        <v>3193</v>
      </c>
      <c r="C94" s="3004" t="s">
        <v>4186</v>
      </c>
      <c r="D94" s="3025" t="s">
        <v>4411</v>
      </c>
      <c r="E94" s="3008" t="s">
        <v>4412</v>
      </c>
      <c r="F94" s="3028">
        <v>52.1</v>
      </c>
      <c r="G94" s="3028">
        <v>6.67</v>
      </c>
      <c r="H94" s="3004" t="s">
        <v>1373</v>
      </c>
      <c r="I94" s="3007" t="s">
        <v>4286</v>
      </c>
      <c r="J94" s="3010">
        <f t="shared" si="9"/>
        <v>56156</v>
      </c>
      <c r="K94" s="3007" t="str">
        <f t="shared" si="10"/>
        <v xml:space="preserve">10层 </v>
      </c>
      <c r="L94" s="3007" t="str">
        <f t="shared" si="12"/>
        <v>7层</v>
      </c>
      <c r="N94" s="3002">
        <f t="shared" si="8"/>
        <v>522771</v>
      </c>
    </row>
    <row r="95" spans="1:14" ht="24">
      <c r="A95" s="3003">
        <v>92</v>
      </c>
      <c r="B95" s="3003" t="s">
        <v>3194</v>
      </c>
      <c r="C95" s="3004" t="s">
        <v>4047</v>
      </c>
      <c r="D95" s="3025" t="s">
        <v>4413</v>
      </c>
      <c r="E95" s="3008" t="s">
        <v>4414</v>
      </c>
      <c r="F95" s="3028">
        <v>65.89</v>
      </c>
      <c r="G95" s="3028">
        <v>8.44</v>
      </c>
      <c r="H95" s="3004" t="s">
        <v>1373</v>
      </c>
      <c r="I95" s="3007" t="s">
        <v>4336</v>
      </c>
      <c r="J95" s="3010">
        <f t="shared" si="9"/>
        <v>56156</v>
      </c>
      <c r="K95" s="3007" t="str">
        <f t="shared" si="10"/>
        <v xml:space="preserve">10层 </v>
      </c>
      <c r="L95" s="3007" t="str">
        <f t="shared" si="12"/>
        <v>7层</v>
      </c>
      <c r="N95" s="3002">
        <f t="shared" si="8"/>
        <v>661140</v>
      </c>
    </row>
    <row r="96" spans="1:14" ht="24">
      <c r="A96" s="3003">
        <v>93</v>
      </c>
      <c r="B96" s="3003" t="s">
        <v>3195</v>
      </c>
      <c r="C96" s="3004" t="s">
        <v>4280</v>
      </c>
      <c r="D96" s="3025" t="s">
        <v>4415</v>
      </c>
      <c r="E96" s="3008" t="s">
        <v>4416</v>
      </c>
      <c r="F96" s="3028">
        <v>53.28</v>
      </c>
      <c r="G96" s="3028">
        <v>6.82</v>
      </c>
      <c r="H96" s="3004" t="s">
        <v>1373</v>
      </c>
      <c r="I96" s="3007" t="s">
        <v>4283</v>
      </c>
      <c r="J96" s="3010">
        <f t="shared" si="9"/>
        <v>56156</v>
      </c>
      <c r="K96" s="3007" t="str">
        <f t="shared" si="10"/>
        <v xml:space="preserve">10层 </v>
      </c>
      <c r="L96" s="3007" t="str">
        <f t="shared" si="12"/>
        <v>7层</v>
      </c>
      <c r="N96" s="3002">
        <f t="shared" si="8"/>
        <v>534612</v>
      </c>
    </row>
    <row r="97" spans="1:14" ht="24">
      <c r="A97" s="3003">
        <v>94</v>
      </c>
      <c r="B97" s="3003" t="s">
        <v>3196</v>
      </c>
      <c r="C97" s="3004" t="s">
        <v>3999</v>
      </c>
      <c r="D97" s="3025" t="s">
        <v>4417</v>
      </c>
      <c r="E97" s="3008" t="s">
        <v>4418</v>
      </c>
      <c r="F97" s="3028">
        <v>0</v>
      </c>
      <c r="G97" s="3028">
        <v>0</v>
      </c>
      <c r="H97" s="3004" t="s">
        <v>1373</v>
      </c>
      <c r="I97" s="3007" t="s">
        <v>4345</v>
      </c>
      <c r="J97" s="3010">
        <f t="shared" si="9"/>
        <v>56156</v>
      </c>
      <c r="K97" s="3007" t="str">
        <f t="shared" si="10"/>
        <v xml:space="preserve">10层 </v>
      </c>
      <c r="L97" s="3007" t="str">
        <f t="shared" si="12"/>
        <v>7层</v>
      </c>
      <c r="N97" s="3002">
        <f t="shared" si="8"/>
        <v>0</v>
      </c>
    </row>
    <row r="98" spans="1:14" ht="24">
      <c r="A98" s="3003">
        <v>95</v>
      </c>
      <c r="B98" s="3003" t="s">
        <v>3197</v>
      </c>
      <c r="C98" s="3004" t="s">
        <v>3993</v>
      </c>
      <c r="D98" s="3025" t="s">
        <v>4419</v>
      </c>
      <c r="E98" s="3008" t="s">
        <v>4420</v>
      </c>
      <c r="F98" s="3028">
        <v>0</v>
      </c>
      <c r="G98" s="3028">
        <v>0</v>
      </c>
      <c r="H98" s="3004" t="s">
        <v>1373</v>
      </c>
      <c r="I98" s="3007" t="s">
        <v>4291</v>
      </c>
      <c r="J98" s="3010">
        <f t="shared" si="9"/>
        <v>56156</v>
      </c>
      <c r="K98" s="3007" t="str">
        <f t="shared" si="10"/>
        <v xml:space="preserve">10层 </v>
      </c>
      <c r="L98" s="3007" t="str">
        <f t="shared" si="12"/>
        <v>7层</v>
      </c>
      <c r="N98" s="3002">
        <f t="shared" si="8"/>
        <v>0</v>
      </c>
    </row>
    <row r="99" spans="1:14" ht="24">
      <c r="A99" s="3003">
        <v>96</v>
      </c>
      <c r="B99" s="3003" t="s">
        <v>3198</v>
      </c>
      <c r="C99" s="3004" t="s">
        <v>4280</v>
      </c>
      <c r="D99" s="3025" t="s">
        <v>4421</v>
      </c>
      <c r="E99" s="3008" t="s">
        <v>4422</v>
      </c>
      <c r="F99" s="3028">
        <v>72.569999999999993</v>
      </c>
      <c r="G99" s="3028">
        <v>9.3000000000000007</v>
      </c>
      <c r="H99" s="3004" t="s">
        <v>1373</v>
      </c>
      <c r="I99" s="3007" t="s">
        <v>4291</v>
      </c>
      <c r="J99" s="3010">
        <f t="shared" si="9"/>
        <v>56156</v>
      </c>
      <c r="K99" s="3007" t="str">
        <f t="shared" si="10"/>
        <v xml:space="preserve">10层 </v>
      </c>
      <c r="L99" s="3007" t="str">
        <f t="shared" si="12"/>
        <v>7层</v>
      </c>
      <c r="N99" s="3002">
        <f t="shared" si="8"/>
        <v>728167</v>
      </c>
    </row>
    <row r="100" spans="1:14" ht="24">
      <c r="A100" s="3003">
        <v>97</v>
      </c>
      <c r="B100" s="3003" t="s">
        <v>3206</v>
      </c>
      <c r="C100" s="3004" t="s">
        <v>4280</v>
      </c>
      <c r="D100" s="3025" t="s">
        <v>4423</v>
      </c>
      <c r="E100" s="3008" t="s">
        <v>4424</v>
      </c>
      <c r="F100" s="3028">
        <v>68.989999999999995</v>
      </c>
      <c r="G100" s="3028">
        <v>8.84</v>
      </c>
      <c r="H100" s="3004" t="s">
        <v>1373</v>
      </c>
      <c r="I100" s="3007" t="s">
        <v>4283</v>
      </c>
      <c r="J100" s="3010">
        <f t="shared" si="9"/>
        <v>56156</v>
      </c>
      <c r="K100" s="3007" t="str">
        <f t="shared" si="10"/>
        <v xml:space="preserve">10层 </v>
      </c>
      <c r="L100" s="3007" t="s">
        <v>4425</v>
      </c>
      <c r="N100" s="3002">
        <f t="shared" si="8"/>
        <v>692246</v>
      </c>
    </row>
    <row r="101" spans="1:14" ht="24">
      <c r="A101" s="3003">
        <v>98</v>
      </c>
      <c r="B101" s="3003" t="s">
        <v>3207</v>
      </c>
      <c r="C101" s="3004" t="s">
        <v>4186</v>
      </c>
      <c r="D101" s="3025" t="s">
        <v>4426</v>
      </c>
      <c r="E101" s="3008" t="s">
        <v>4427</v>
      </c>
      <c r="F101" s="3028">
        <v>53.3</v>
      </c>
      <c r="G101" s="3028">
        <v>6.83</v>
      </c>
      <c r="H101" s="3004" t="s">
        <v>1373</v>
      </c>
      <c r="I101" s="3007" t="s">
        <v>4286</v>
      </c>
      <c r="J101" s="3010">
        <f t="shared" si="9"/>
        <v>56156</v>
      </c>
      <c r="K101" s="3007" t="str">
        <f t="shared" si="10"/>
        <v xml:space="preserve">10层 </v>
      </c>
      <c r="L101" s="3007" t="str">
        <f>L100</f>
        <v>8层</v>
      </c>
      <c r="N101" s="3002">
        <f t="shared" si="8"/>
        <v>534812</v>
      </c>
    </row>
    <row r="102" spans="1:14" ht="24">
      <c r="A102" s="3003">
        <v>99</v>
      </c>
      <c r="B102" s="3003" t="s">
        <v>3208</v>
      </c>
      <c r="C102" s="3004" t="s">
        <v>3431</v>
      </c>
      <c r="D102" s="3025" t="s">
        <v>4428</v>
      </c>
      <c r="E102" s="3008" t="s">
        <v>4429</v>
      </c>
      <c r="F102" s="3028">
        <v>53.18</v>
      </c>
      <c r="G102" s="3028">
        <v>6.81</v>
      </c>
      <c r="H102" s="3004" t="s">
        <v>1373</v>
      </c>
      <c r="I102" s="3007" t="s">
        <v>3443</v>
      </c>
      <c r="J102" s="3010">
        <f t="shared" si="9"/>
        <v>56156</v>
      </c>
      <c r="K102" s="3007" t="str">
        <f t="shared" si="10"/>
        <v xml:space="preserve">10层 </v>
      </c>
      <c r="L102" s="3007" t="str">
        <f t="shared" ref="L102:L113" si="13">L101</f>
        <v>8层</v>
      </c>
      <c r="N102" s="3002">
        <f t="shared" si="8"/>
        <v>533608</v>
      </c>
    </row>
    <row r="103" spans="1:14" ht="24">
      <c r="A103" s="3003">
        <v>100</v>
      </c>
      <c r="B103" s="3003" t="s">
        <v>3209</v>
      </c>
      <c r="C103" s="3004" t="s">
        <v>4005</v>
      </c>
      <c r="D103" s="3025" t="s">
        <v>4430</v>
      </c>
      <c r="E103" s="3008" t="s">
        <v>4431</v>
      </c>
      <c r="F103" s="3028">
        <v>53.55</v>
      </c>
      <c r="G103" s="3028">
        <v>6.86</v>
      </c>
      <c r="H103" s="3004" t="s">
        <v>1373</v>
      </c>
      <c r="I103" s="3007" t="s">
        <v>4432</v>
      </c>
      <c r="J103" s="3010">
        <f t="shared" si="9"/>
        <v>56156</v>
      </c>
      <c r="K103" s="3007" t="str">
        <f t="shared" si="10"/>
        <v xml:space="preserve">10层 </v>
      </c>
      <c r="L103" s="3007" t="str">
        <f t="shared" si="13"/>
        <v>8层</v>
      </c>
      <c r="N103" s="3002">
        <f t="shared" si="8"/>
        <v>537321</v>
      </c>
    </row>
    <row r="104" spans="1:14" ht="24">
      <c r="A104" s="3003">
        <v>101</v>
      </c>
      <c r="B104" s="3003" t="s">
        <v>3210</v>
      </c>
      <c r="C104" s="3004" t="s">
        <v>4433</v>
      </c>
      <c r="D104" s="3025" t="s">
        <v>4434</v>
      </c>
      <c r="E104" s="3008" t="s">
        <v>4435</v>
      </c>
      <c r="F104" s="3028">
        <v>66.23</v>
      </c>
      <c r="G104" s="3028">
        <v>8.48</v>
      </c>
      <c r="H104" s="3004" t="s">
        <v>1373</v>
      </c>
      <c r="I104" s="3007" t="s">
        <v>4436</v>
      </c>
      <c r="J104" s="3010">
        <f t="shared" si="9"/>
        <v>56156</v>
      </c>
      <c r="K104" s="3007" t="str">
        <f t="shared" si="10"/>
        <v xml:space="preserve">10层 </v>
      </c>
      <c r="L104" s="3007" t="str">
        <f t="shared" si="13"/>
        <v>8层</v>
      </c>
      <c r="N104" s="3002">
        <f t="shared" si="8"/>
        <v>664552</v>
      </c>
    </row>
    <row r="105" spans="1:14" ht="24">
      <c r="A105" s="3003">
        <v>102</v>
      </c>
      <c r="B105" s="3003" t="s">
        <v>3211</v>
      </c>
      <c r="C105" s="3004" t="s">
        <v>4186</v>
      </c>
      <c r="D105" s="3025" t="s">
        <v>4437</v>
      </c>
      <c r="E105" s="3008" t="s">
        <v>4438</v>
      </c>
      <c r="F105" s="3028">
        <v>44.98</v>
      </c>
      <c r="G105" s="3028">
        <v>5.76</v>
      </c>
      <c r="H105" s="3004" t="s">
        <v>1373</v>
      </c>
      <c r="I105" s="3007" t="s">
        <v>4286</v>
      </c>
      <c r="J105" s="3010">
        <f t="shared" si="9"/>
        <v>56156</v>
      </c>
      <c r="K105" s="3007" t="str">
        <f t="shared" si="10"/>
        <v xml:space="preserve">10层 </v>
      </c>
      <c r="L105" s="3007" t="str">
        <f t="shared" si="13"/>
        <v>8层</v>
      </c>
      <c r="N105" s="3002">
        <f t="shared" si="8"/>
        <v>451329</v>
      </c>
    </row>
    <row r="106" spans="1:14" ht="24">
      <c r="A106" s="3003">
        <v>103</v>
      </c>
      <c r="B106" s="3003" t="s">
        <v>3212</v>
      </c>
      <c r="C106" s="3004" t="s">
        <v>4354</v>
      </c>
      <c r="D106" s="3025" t="s">
        <v>4439</v>
      </c>
      <c r="E106" s="3008" t="s">
        <v>4440</v>
      </c>
      <c r="F106" s="3028">
        <v>58.19</v>
      </c>
      <c r="G106" s="3028">
        <v>7.45</v>
      </c>
      <c r="H106" s="3004" t="s">
        <v>1373</v>
      </c>
      <c r="I106" s="3007" t="s">
        <v>4357</v>
      </c>
      <c r="J106" s="3010">
        <f t="shared" si="9"/>
        <v>56156</v>
      </c>
      <c r="K106" s="3007" t="str">
        <f t="shared" si="10"/>
        <v xml:space="preserve">10层 </v>
      </c>
      <c r="L106" s="3007" t="str">
        <f t="shared" si="13"/>
        <v>8层</v>
      </c>
      <c r="N106" s="3002">
        <f t="shared" si="8"/>
        <v>583878</v>
      </c>
    </row>
    <row r="107" spans="1:14" ht="24">
      <c r="A107" s="3003">
        <v>104</v>
      </c>
      <c r="B107" s="3003" t="s">
        <v>3213</v>
      </c>
      <c r="C107" s="3004" t="s">
        <v>4047</v>
      </c>
      <c r="D107" s="3025" t="s">
        <v>4441</v>
      </c>
      <c r="E107" s="3008" t="s">
        <v>4442</v>
      </c>
      <c r="F107" s="3028">
        <v>58.19</v>
      </c>
      <c r="G107" s="3028">
        <v>7.45</v>
      </c>
      <c r="H107" s="3004" t="s">
        <v>1373</v>
      </c>
      <c r="I107" s="3007" t="s">
        <v>4336</v>
      </c>
      <c r="J107" s="3010">
        <f t="shared" si="9"/>
        <v>56156</v>
      </c>
      <c r="K107" s="3007" t="str">
        <f t="shared" si="10"/>
        <v xml:space="preserve">10层 </v>
      </c>
      <c r="L107" s="3007" t="str">
        <f t="shared" si="13"/>
        <v>8层</v>
      </c>
      <c r="N107" s="3002">
        <f t="shared" si="8"/>
        <v>583878</v>
      </c>
    </row>
    <row r="108" spans="1:14" ht="24">
      <c r="A108" s="3003">
        <v>105</v>
      </c>
      <c r="B108" s="3003" t="s">
        <v>3214</v>
      </c>
      <c r="C108" s="3004" t="s">
        <v>4047</v>
      </c>
      <c r="D108" s="3025" t="s">
        <v>4443</v>
      </c>
      <c r="E108" s="3008" t="s">
        <v>4444</v>
      </c>
      <c r="F108" s="3028">
        <v>44.98</v>
      </c>
      <c r="G108" s="3028">
        <v>5.76</v>
      </c>
      <c r="H108" s="3004" t="s">
        <v>1373</v>
      </c>
      <c r="I108" s="3007" t="s">
        <v>4336</v>
      </c>
      <c r="J108" s="3010">
        <f t="shared" si="9"/>
        <v>56156</v>
      </c>
      <c r="K108" s="3007" t="str">
        <f t="shared" si="10"/>
        <v xml:space="preserve">10层 </v>
      </c>
      <c r="L108" s="3007" t="str">
        <f t="shared" si="13"/>
        <v>8层</v>
      </c>
      <c r="N108" s="3002">
        <f t="shared" si="8"/>
        <v>451329</v>
      </c>
    </row>
    <row r="109" spans="1:14" ht="24">
      <c r="A109" s="3003">
        <v>106</v>
      </c>
      <c r="B109" s="3003" t="s">
        <v>3215</v>
      </c>
      <c r="C109" s="3004" t="s">
        <v>4317</v>
      </c>
      <c r="D109" s="3025" t="s">
        <v>4445</v>
      </c>
      <c r="E109" s="3008" t="s">
        <v>4446</v>
      </c>
      <c r="F109" s="3028">
        <v>66.23</v>
      </c>
      <c r="G109" s="3028">
        <v>8.48</v>
      </c>
      <c r="H109" s="3004" t="s">
        <v>1373</v>
      </c>
      <c r="I109" s="3007" t="s">
        <v>4320</v>
      </c>
      <c r="J109" s="3010">
        <f t="shared" si="9"/>
        <v>56156</v>
      </c>
      <c r="K109" s="3007" t="str">
        <f t="shared" si="10"/>
        <v xml:space="preserve">10层 </v>
      </c>
      <c r="L109" s="3007" t="str">
        <f t="shared" si="13"/>
        <v>8层</v>
      </c>
      <c r="N109" s="3002">
        <f t="shared" si="8"/>
        <v>664552</v>
      </c>
    </row>
    <row r="110" spans="1:14" ht="24">
      <c r="A110" s="3003">
        <v>107</v>
      </c>
      <c r="B110" s="3003" t="s">
        <v>3216</v>
      </c>
      <c r="C110" s="3004" t="s">
        <v>4317</v>
      </c>
      <c r="D110" s="3025" t="s">
        <v>4447</v>
      </c>
      <c r="E110" s="3008" t="s">
        <v>4448</v>
      </c>
      <c r="F110" s="3028">
        <v>53.55</v>
      </c>
      <c r="G110" s="3028">
        <v>6.86</v>
      </c>
      <c r="H110" s="3004" t="s">
        <v>1373</v>
      </c>
      <c r="I110" s="3007" t="s">
        <v>4320</v>
      </c>
      <c r="J110" s="3010">
        <f t="shared" si="9"/>
        <v>56156</v>
      </c>
      <c r="K110" s="3007" t="str">
        <f t="shared" si="10"/>
        <v xml:space="preserve">10层 </v>
      </c>
      <c r="L110" s="3007" t="str">
        <f t="shared" si="13"/>
        <v>8层</v>
      </c>
      <c r="N110" s="3002">
        <f t="shared" si="8"/>
        <v>537321</v>
      </c>
    </row>
    <row r="111" spans="1:14" ht="24">
      <c r="A111" s="3003">
        <v>108</v>
      </c>
      <c r="B111" s="3003" t="s">
        <v>3217</v>
      </c>
      <c r="C111" s="3004" t="s">
        <v>4449</v>
      </c>
      <c r="D111" s="3025" t="s">
        <v>4450</v>
      </c>
      <c r="E111" s="3008" t="s">
        <v>4451</v>
      </c>
      <c r="F111" s="3028">
        <v>53.18</v>
      </c>
      <c r="G111" s="3028">
        <v>6.81</v>
      </c>
      <c r="H111" s="3004" t="s">
        <v>1373</v>
      </c>
      <c r="I111" s="3007" t="s">
        <v>4452</v>
      </c>
      <c r="J111" s="3010">
        <f t="shared" si="9"/>
        <v>56156</v>
      </c>
      <c r="K111" s="3007" t="str">
        <f t="shared" si="10"/>
        <v xml:space="preserve">10层 </v>
      </c>
      <c r="L111" s="3007" t="str">
        <f t="shared" si="13"/>
        <v>8层</v>
      </c>
      <c r="N111" s="3002">
        <f t="shared" si="8"/>
        <v>533608</v>
      </c>
    </row>
    <row r="112" spans="1:14" ht="24">
      <c r="A112" s="3003">
        <v>109</v>
      </c>
      <c r="B112" s="3003" t="s">
        <v>3218</v>
      </c>
      <c r="C112" s="3004" t="s">
        <v>4264</v>
      </c>
      <c r="D112" s="3025" t="s">
        <v>4453</v>
      </c>
      <c r="E112" s="3008" t="s">
        <v>4454</v>
      </c>
      <c r="F112" s="3028">
        <v>53.3</v>
      </c>
      <c r="G112" s="3028">
        <v>6.83</v>
      </c>
      <c r="H112" s="3004" t="s">
        <v>1373</v>
      </c>
      <c r="I112" s="3007" t="s">
        <v>4267</v>
      </c>
      <c r="J112" s="3010">
        <f t="shared" si="9"/>
        <v>56156</v>
      </c>
      <c r="K112" s="3007" t="str">
        <f t="shared" si="10"/>
        <v xml:space="preserve">10层 </v>
      </c>
      <c r="L112" s="3007" t="str">
        <f t="shared" si="13"/>
        <v>8层</v>
      </c>
      <c r="N112" s="3002">
        <f t="shared" si="8"/>
        <v>534812</v>
      </c>
    </row>
    <row r="113" spans="1:14" ht="24">
      <c r="A113" s="3003">
        <v>110</v>
      </c>
      <c r="B113" s="3003" t="s">
        <v>3219</v>
      </c>
      <c r="C113" s="3004" t="s">
        <v>3999</v>
      </c>
      <c r="D113" s="3025" t="s">
        <v>4455</v>
      </c>
      <c r="E113" s="3008" t="s">
        <v>4456</v>
      </c>
      <c r="F113" s="3028">
        <v>72.94</v>
      </c>
      <c r="G113" s="3028">
        <v>9.34</v>
      </c>
      <c r="H113" s="3004" t="s">
        <v>1373</v>
      </c>
      <c r="I113" s="3007" t="s">
        <v>4345</v>
      </c>
      <c r="J113" s="3010">
        <f t="shared" si="9"/>
        <v>56156</v>
      </c>
      <c r="K113" s="3007" t="str">
        <f t="shared" si="10"/>
        <v xml:space="preserve">10层 </v>
      </c>
      <c r="L113" s="3007" t="str">
        <f t="shared" si="13"/>
        <v>8层</v>
      </c>
      <c r="N113" s="3002">
        <f t="shared" si="8"/>
        <v>731880</v>
      </c>
    </row>
    <row r="114" spans="1:14" ht="24">
      <c r="A114" s="3003">
        <v>111</v>
      </c>
      <c r="B114" s="3003" t="s">
        <v>3227</v>
      </c>
      <c r="C114" s="3004" t="s">
        <v>4354</v>
      </c>
      <c r="D114" s="3025" t="s">
        <v>4457</v>
      </c>
      <c r="E114" s="3008" t="s">
        <v>4458</v>
      </c>
      <c r="F114" s="3028">
        <v>70.180000000000007</v>
      </c>
      <c r="G114" s="3028">
        <v>8.99</v>
      </c>
      <c r="H114" s="3004" t="s">
        <v>1373</v>
      </c>
      <c r="I114" s="3007" t="s">
        <v>4357</v>
      </c>
      <c r="J114" s="3010">
        <f t="shared" si="9"/>
        <v>56156</v>
      </c>
      <c r="K114" s="3007" t="str">
        <f t="shared" si="10"/>
        <v xml:space="preserve">10层 </v>
      </c>
      <c r="L114" s="3007" t="s">
        <v>4459</v>
      </c>
      <c r="N114" s="3002">
        <f t="shared" si="8"/>
        <v>704186</v>
      </c>
    </row>
    <row r="115" spans="1:14" ht="24">
      <c r="A115" s="3003">
        <v>112</v>
      </c>
      <c r="B115" s="3003" t="s">
        <v>3228</v>
      </c>
      <c r="C115" s="3004" t="s">
        <v>4460</v>
      </c>
      <c r="D115" s="3025" t="s">
        <v>4461</v>
      </c>
      <c r="E115" s="3008" t="s">
        <v>4462</v>
      </c>
      <c r="F115" s="3028">
        <v>54.22</v>
      </c>
      <c r="G115" s="3028">
        <v>6.94</v>
      </c>
      <c r="H115" s="3004" t="s">
        <v>1373</v>
      </c>
      <c r="I115" s="3007" t="s">
        <v>4463</v>
      </c>
      <c r="J115" s="3010">
        <f t="shared" si="9"/>
        <v>56156</v>
      </c>
      <c r="K115" s="3007" t="str">
        <f t="shared" si="10"/>
        <v xml:space="preserve">10层 </v>
      </c>
      <c r="L115" s="3007" t="str">
        <f>L114</f>
        <v>9层</v>
      </c>
      <c r="N115" s="3002">
        <f t="shared" si="8"/>
        <v>544043</v>
      </c>
    </row>
    <row r="116" spans="1:14" ht="24">
      <c r="A116" s="3003">
        <v>113</v>
      </c>
      <c r="B116" s="3003" t="s">
        <v>3229</v>
      </c>
      <c r="C116" s="3004" t="s">
        <v>3431</v>
      </c>
      <c r="D116" s="3025" t="s">
        <v>4464</v>
      </c>
      <c r="E116" s="3008" t="s">
        <v>4465</v>
      </c>
      <c r="F116" s="3028">
        <v>54.1</v>
      </c>
      <c r="G116" s="3028">
        <v>6.93</v>
      </c>
      <c r="H116" s="3004" t="s">
        <v>1373</v>
      </c>
      <c r="I116" s="3007" t="s">
        <v>3443</v>
      </c>
      <c r="J116" s="3010">
        <f t="shared" si="9"/>
        <v>56156</v>
      </c>
      <c r="K116" s="3007" t="str">
        <f t="shared" si="10"/>
        <v xml:space="preserve">10层 </v>
      </c>
      <c r="L116" s="3007" t="str">
        <f t="shared" ref="L116:L126" si="14">L115</f>
        <v>9层</v>
      </c>
      <c r="N116" s="3002">
        <f t="shared" si="8"/>
        <v>542839</v>
      </c>
    </row>
    <row r="117" spans="1:14" ht="24">
      <c r="A117" s="3003">
        <v>114</v>
      </c>
      <c r="B117" s="3003" t="s">
        <v>3230</v>
      </c>
      <c r="C117" s="3004" t="s">
        <v>4047</v>
      </c>
      <c r="D117" s="3025" t="s">
        <v>4466</v>
      </c>
      <c r="E117" s="3008" t="s">
        <v>4467</v>
      </c>
      <c r="F117" s="3028">
        <v>54.61</v>
      </c>
      <c r="G117" s="3028">
        <v>6.99</v>
      </c>
      <c r="H117" s="3004" t="s">
        <v>1373</v>
      </c>
      <c r="I117" s="3007" t="s">
        <v>4336</v>
      </c>
      <c r="J117" s="3010">
        <f t="shared" si="9"/>
        <v>56156</v>
      </c>
      <c r="K117" s="3007" t="str">
        <f t="shared" si="10"/>
        <v xml:space="preserve">10层 </v>
      </c>
      <c r="L117" s="3007" t="str">
        <f t="shared" si="14"/>
        <v>9层</v>
      </c>
      <c r="N117" s="3002">
        <f t="shared" si="8"/>
        <v>547957</v>
      </c>
    </row>
    <row r="118" spans="1:14" ht="24">
      <c r="A118" s="3003">
        <v>115</v>
      </c>
      <c r="B118" s="3003" t="s">
        <v>3231</v>
      </c>
      <c r="C118" s="3004" t="s">
        <v>3840</v>
      </c>
      <c r="D118" s="3025" t="s">
        <v>4468</v>
      </c>
      <c r="E118" s="3008" t="s">
        <v>4469</v>
      </c>
      <c r="F118" s="3028">
        <v>61.66</v>
      </c>
      <c r="G118" s="3028">
        <v>7.9</v>
      </c>
      <c r="H118" s="3004" t="s">
        <v>1373</v>
      </c>
      <c r="I118" s="3007" t="s">
        <v>3843</v>
      </c>
      <c r="J118" s="3010">
        <f t="shared" si="9"/>
        <v>56156</v>
      </c>
      <c r="K118" s="3007" t="str">
        <f t="shared" si="10"/>
        <v xml:space="preserve">10层 </v>
      </c>
      <c r="L118" s="3007" t="str">
        <f t="shared" si="14"/>
        <v>9层</v>
      </c>
      <c r="N118" s="3002">
        <f t="shared" si="8"/>
        <v>618696</v>
      </c>
    </row>
    <row r="119" spans="1:14" ht="24">
      <c r="A119" s="3003">
        <v>116</v>
      </c>
      <c r="B119" s="3003" t="s">
        <v>3232</v>
      </c>
      <c r="C119" s="3004" t="s">
        <v>3996</v>
      </c>
      <c r="D119" s="3025" t="s">
        <v>4470</v>
      </c>
      <c r="E119" s="3008" t="s">
        <v>4471</v>
      </c>
      <c r="F119" s="3028">
        <v>0</v>
      </c>
      <c r="G119" s="3028">
        <v>0</v>
      </c>
      <c r="H119" s="3004" t="s">
        <v>1373</v>
      </c>
      <c r="I119" s="3007" t="s">
        <v>4472</v>
      </c>
      <c r="J119" s="3010">
        <f t="shared" si="9"/>
        <v>56156</v>
      </c>
      <c r="K119" s="3007" t="str">
        <f t="shared" si="10"/>
        <v xml:space="preserve">10层 </v>
      </c>
      <c r="L119" s="3007" t="str">
        <f t="shared" si="14"/>
        <v>9层</v>
      </c>
      <c r="N119" s="3002">
        <f t="shared" si="8"/>
        <v>0</v>
      </c>
    </row>
    <row r="120" spans="1:14" ht="24">
      <c r="A120" s="3003">
        <v>117</v>
      </c>
      <c r="B120" s="3003" t="s">
        <v>3233</v>
      </c>
      <c r="C120" s="3004" t="s">
        <v>3621</v>
      </c>
      <c r="D120" s="3025" t="s">
        <v>4473</v>
      </c>
      <c r="E120" s="3008" t="s">
        <v>4474</v>
      </c>
      <c r="F120" s="3028">
        <v>56.09</v>
      </c>
      <c r="G120" s="3028">
        <v>7.18</v>
      </c>
      <c r="H120" s="3004" t="s">
        <v>1373</v>
      </c>
      <c r="I120" s="3007" t="s">
        <v>3665</v>
      </c>
      <c r="J120" s="3010">
        <f t="shared" si="9"/>
        <v>56156</v>
      </c>
      <c r="K120" s="3007" t="str">
        <f t="shared" si="10"/>
        <v xml:space="preserve">10层 </v>
      </c>
      <c r="L120" s="3007" t="str">
        <f t="shared" si="14"/>
        <v>9层</v>
      </c>
      <c r="N120" s="3002">
        <f t="shared" si="8"/>
        <v>562807</v>
      </c>
    </row>
    <row r="121" spans="1:14" ht="24">
      <c r="A121" s="3003">
        <v>118</v>
      </c>
      <c r="B121" s="3003" t="s">
        <v>3234</v>
      </c>
      <c r="C121" s="3004" t="s">
        <v>4460</v>
      </c>
      <c r="D121" s="3025" t="s">
        <v>4475</v>
      </c>
      <c r="E121" s="3008" t="s">
        <v>4476</v>
      </c>
      <c r="F121" s="3028">
        <v>0</v>
      </c>
      <c r="G121" s="3028">
        <v>0</v>
      </c>
      <c r="H121" s="3004" t="s">
        <v>1373</v>
      </c>
      <c r="I121" s="3007" t="s">
        <v>4463</v>
      </c>
      <c r="J121" s="3010">
        <f t="shared" si="9"/>
        <v>56156</v>
      </c>
      <c r="K121" s="3007" t="str">
        <f t="shared" si="10"/>
        <v xml:space="preserve">10层 </v>
      </c>
      <c r="L121" s="3007" t="str">
        <f t="shared" si="14"/>
        <v>9层</v>
      </c>
      <c r="N121" s="3002">
        <f t="shared" si="8"/>
        <v>0</v>
      </c>
    </row>
    <row r="122" spans="1:14" ht="24">
      <c r="A122" s="3003">
        <v>119</v>
      </c>
      <c r="B122" s="3003" t="s">
        <v>3235</v>
      </c>
      <c r="C122" s="3004" t="s">
        <v>4005</v>
      </c>
      <c r="D122" s="3025" t="s">
        <v>4477</v>
      </c>
      <c r="E122" s="3008" t="s">
        <v>4478</v>
      </c>
      <c r="F122" s="3028">
        <v>61.66</v>
      </c>
      <c r="G122" s="3028">
        <v>7.9</v>
      </c>
      <c r="H122" s="3004" t="s">
        <v>1373</v>
      </c>
      <c r="I122" s="3007" t="s">
        <v>4432</v>
      </c>
      <c r="J122" s="3010">
        <f t="shared" si="9"/>
        <v>56156</v>
      </c>
      <c r="K122" s="3007" t="str">
        <f t="shared" si="10"/>
        <v xml:space="preserve">10层 </v>
      </c>
      <c r="L122" s="3007" t="str">
        <f t="shared" si="14"/>
        <v>9层</v>
      </c>
      <c r="N122" s="3002">
        <f t="shared" si="8"/>
        <v>618696</v>
      </c>
    </row>
    <row r="123" spans="1:14" ht="24">
      <c r="A123" s="3003">
        <v>120</v>
      </c>
      <c r="B123" s="3003" t="s">
        <v>3236</v>
      </c>
      <c r="C123" s="3004" t="s">
        <v>3840</v>
      </c>
      <c r="D123" s="3025" t="s">
        <v>4479</v>
      </c>
      <c r="E123" s="3008" t="s">
        <v>4480</v>
      </c>
      <c r="F123" s="3028">
        <v>54.61</v>
      </c>
      <c r="G123" s="3028">
        <v>6.99</v>
      </c>
      <c r="H123" s="3004" t="s">
        <v>1373</v>
      </c>
      <c r="I123" s="3007" t="s">
        <v>3843</v>
      </c>
      <c r="J123" s="3010">
        <f t="shared" si="9"/>
        <v>56156</v>
      </c>
      <c r="K123" s="3007" t="str">
        <f t="shared" si="10"/>
        <v xml:space="preserve">10层 </v>
      </c>
      <c r="L123" s="3007" t="str">
        <f t="shared" si="14"/>
        <v>9层</v>
      </c>
      <c r="N123" s="3002">
        <f t="shared" si="8"/>
        <v>547957</v>
      </c>
    </row>
    <row r="124" spans="1:14" ht="24">
      <c r="A124" s="3003">
        <v>121</v>
      </c>
      <c r="B124" s="3003" t="s">
        <v>3237</v>
      </c>
      <c r="C124" s="3004" t="s">
        <v>3431</v>
      </c>
      <c r="D124" s="3025" t="s">
        <v>4481</v>
      </c>
      <c r="E124" s="3008" t="s">
        <v>4482</v>
      </c>
      <c r="F124" s="3028">
        <v>54.1</v>
      </c>
      <c r="G124" s="3028">
        <v>6.93</v>
      </c>
      <c r="H124" s="3004" t="s">
        <v>1373</v>
      </c>
      <c r="I124" s="3007" t="s">
        <v>3843</v>
      </c>
      <c r="J124" s="3010">
        <f t="shared" si="9"/>
        <v>56156</v>
      </c>
      <c r="K124" s="3007" t="str">
        <f t="shared" si="10"/>
        <v xml:space="preserve">10层 </v>
      </c>
      <c r="L124" s="3007" t="str">
        <f t="shared" si="14"/>
        <v>9层</v>
      </c>
      <c r="N124" s="3002">
        <f t="shared" si="8"/>
        <v>542839</v>
      </c>
    </row>
    <row r="125" spans="1:14" ht="24">
      <c r="A125" s="3003">
        <v>122</v>
      </c>
      <c r="B125" s="3003" t="s">
        <v>3238</v>
      </c>
      <c r="C125" s="3004" t="s">
        <v>3431</v>
      </c>
      <c r="D125" s="3025" t="s">
        <v>4483</v>
      </c>
      <c r="E125" s="3008" t="s">
        <v>4484</v>
      </c>
      <c r="F125" s="3028">
        <v>54.22</v>
      </c>
      <c r="G125" s="3028">
        <v>6.94</v>
      </c>
      <c r="H125" s="3004" t="s">
        <v>1373</v>
      </c>
      <c r="I125" s="3007" t="s">
        <v>3843</v>
      </c>
      <c r="J125" s="3010">
        <f t="shared" si="9"/>
        <v>56156</v>
      </c>
      <c r="K125" s="3007" t="str">
        <f t="shared" si="10"/>
        <v xml:space="preserve">10层 </v>
      </c>
      <c r="L125" s="3007" t="str">
        <f t="shared" si="14"/>
        <v>9层</v>
      </c>
      <c r="N125" s="3002">
        <f t="shared" si="8"/>
        <v>544043</v>
      </c>
    </row>
    <row r="126" spans="1:14" ht="24">
      <c r="A126" s="3003">
        <v>123</v>
      </c>
      <c r="B126" s="3003" t="s">
        <v>3239</v>
      </c>
      <c r="C126" s="3004" t="s">
        <v>3431</v>
      </c>
      <c r="D126" s="3025" t="s">
        <v>4485</v>
      </c>
      <c r="E126" s="3008" t="s">
        <v>4486</v>
      </c>
      <c r="F126" s="3028">
        <v>69.790000000000006</v>
      </c>
      <c r="G126" s="3028">
        <v>8.94</v>
      </c>
      <c r="H126" s="3004" t="s">
        <v>1373</v>
      </c>
      <c r="I126" s="3007" t="s">
        <v>3443</v>
      </c>
      <c r="J126" s="3010">
        <f t="shared" si="9"/>
        <v>56156</v>
      </c>
      <c r="K126" s="3007" t="str">
        <f t="shared" si="10"/>
        <v xml:space="preserve">10层 </v>
      </c>
      <c r="L126" s="3007" t="str">
        <f t="shared" si="14"/>
        <v>9层</v>
      </c>
      <c r="N126" s="3002">
        <f t="shared" si="8"/>
        <v>700273</v>
      </c>
    </row>
    <row r="127" spans="1:14" ht="12.75" customHeight="1">
      <c r="A127" s="3383" t="s">
        <v>37</v>
      </c>
      <c r="B127" s="3383"/>
      <c r="C127" s="3383"/>
      <c r="D127" s="3383"/>
      <c r="E127" s="3383"/>
      <c r="F127" s="3028">
        <f>SUM(F4:F126)</f>
        <v>7397.6099999999988</v>
      </c>
      <c r="G127" s="3028">
        <f>SUM(G4:G126)</f>
        <v>947.49000000000024</v>
      </c>
      <c r="H127" s="3028"/>
      <c r="I127" s="3003"/>
      <c r="J127" s="3010"/>
      <c r="K127" s="3007"/>
      <c r="L127" s="3007"/>
      <c r="N127" s="3002">
        <f>SUM(N4:N126)</f>
        <v>74227608</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3"/>
  <sheetViews>
    <sheetView topLeftCell="B1" workbookViewId="0">
      <selection activeCell="N123" sqref="N123"/>
    </sheetView>
  </sheetViews>
  <sheetFormatPr defaultRowHeight="13.5"/>
  <cols>
    <col min="3" max="3" width="17.75" customWidth="1"/>
    <col min="4" max="4" width="23.625" customWidth="1"/>
    <col min="5" max="5" width="17.125" customWidth="1"/>
    <col min="14" max="14" width="9.5" bestFit="1" customWidth="1"/>
  </cols>
  <sheetData>
    <row r="1" spans="1:14" ht="14.25">
      <c r="A1" s="3381" t="s">
        <v>3912</v>
      </c>
      <c r="B1" s="3381"/>
      <c r="C1" s="3381"/>
      <c r="D1" s="3381"/>
      <c r="E1" s="3381"/>
      <c r="F1" s="3381"/>
      <c r="G1" s="3381"/>
      <c r="H1" s="3381"/>
      <c r="I1" s="3381"/>
      <c r="J1" s="3381"/>
      <c r="K1" s="3381"/>
      <c r="L1" s="3381"/>
    </row>
    <row r="2" spans="1:14">
      <c r="A2" s="3384" t="s">
        <v>3418</v>
      </c>
      <c r="B2" s="3384"/>
      <c r="C2" s="3384"/>
      <c r="D2" s="3384"/>
      <c r="E2" s="3384"/>
      <c r="F2" s="3384"/>
      <c r="G2" s="3384"/>
      <c r="H2" s="3384"/>
      <c r="I2" s="3384"/>
      <c r="J2" s="3384"/>
      <c r="K2" s="3384"/>
      <c r="L2" s="3384"/>
    </row>
    <row r="3" spans="1:14"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4"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9334</v>
      </c>
      <c r="N4">
        <f ca="1">ROUND(F4*$M$4,0)</f>
        <v>652447</v>
      </c>
    </row>
    <row r="5" spans="1:14"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504129</v>
      </c>
    </row>
    <row r="6" spans="1:14" ht="24">
      <c r="A6" s="3015">
        <v>3</v>
      </c>
      <c r="B6" s="3016" t="s">
        <v>3061</v>
      </c>
      <c r="C6" s="3004" t="s">
        <v>3431</v>
      </c>
      <c r="D6" s="3007" t="s">
        <v>3932</v>
      </c>
      <c r="E6" s="3008" t="s">
        <v>3933</v>
      </c>
      <c r="F6" s="3017">
        <v>53.89</v>
      </c>
      <c r="G6" s="3017">
        <v>6.82</v>
      </c>
      <c r="H6" s="3016" t="s">
        <v>1373</v>
      </c>
      <c r="I6" s="3015" t="str">
        <f t="shared" ref="I6:I69" si="1">I5</f>
        <v>旅游用地</v>
      </c>
      <c r="J6" s="3010">
        <f t="shared" ref="J6:J69" si="2">$J$4</f>
        <v>56156</v>
      </c>
      <c r="K6" s="3007" t="str">
        <f t="shared" ref="K6:L60" si="3">K5</f>
        <v xml:space="preserve">10层 </v>
      </c>
      <c r="L6" s="3007" t="str">
        <f t="shared" ref="L6:L15" si="4">$L$4</f>
        <v>1层</v>
      </c>
      <c r="N6">
        <f t="shared" ca="1" si="0"/>
        <v>503009</v>
      </c>
    </row>
    <row r="7" spans="1:14" ht="24">
      <c r="A7" s="3015">
        <v>4</v>
      </c>
      <c r="B7" s="3016" t="s">
        <v>3062</v>
      </c>
      <c r="C7" s="3004" t="s">
        <v>3934</v>
      </c>
      <c r="D7" s="3007" t="s">
        <v>3935</v>
      </c>
      <c r="E7" s="3008" t="s">
        <v>3936</v>
      </c>
      <c r="F7" s="3018">
        <v>54.27</v>
      </c>
      <c r="G7" s="3018">
        <v>6.87</v>
      </c>
      <c r="H7" s="3016" t="s">
        <v>1373</v>
      </c>
      <c r="I7" s="3015" t="str">
        <f t="shared" si="1"/>
        <v>旅游用地</v>
      </c>
      <c r="J7" s="3010">
        <f t="shared" si="2"/>
        <v>56156</v>
      </c>
      <c r="K7" s="3007" t="str">
        <f t="shared" si="3"/>
        <v xml:space="preserve">10层 </v>
      </c>
      <c r="L7" s="3007" t="str">
        <f t="shared" si="4"/>
        <v>1层</v>
      </c>
      <c r="N7">
        <f t="shared" ca="1" si="0"/>
        <v>506556</v>
      </c>
    </row>
    <row r="8" spans="1:14" ht="24">
      <c r="A8" s="3015">
        <v>5</v>
      </c>
      <c r="B8" s="3015" t="s">
        <v>3063</v>
      </c>
      <c r="C8" s="3004" t="s">
        <v>3431</v>
      </c>
      <c r="D8" s="3007" t="s">
        <v>3937</v>
      </c>
      <c r="E8" s="3008" t="s">
        <v>3938</v>
      </c>
      <c r="F8" s="3019">
        <v>67.11</v>
      </c>
      <c r="G8" s="3019">
        <v>8.5</v>
      </c>
      <c r="H8" s="3016" t="s">
        <v>1373</v>
      </c>
      <c r="I8" s="3015" t="str">
        <f t="shared" si="1"/>
        <v>旅游用地</v>
      </c>
      <c r="J8" s="3010">
        <f t="shared" si="2"/>
        <v>56156</v>
      </c>
      <c r="K8" s="3007" t="str">
        <f t="shared" si="3"/>
        <v xml:space="preserve">10层 </v>
      </c>
      <c r="L8" s="3007" t="str">
        <f t="shared" si="4"/>
        <v>1层</v>
      </c>
      <c r="N8">
        <f t="shared" ca="1" si="0"/>
        <v>626405</v>
      </c>
    </row>
    <row r="9" spans="1:14" ht="24">
      <c r="A9" s="3015">
        <v>6</v>
      </c>
      <c r="B9" s="3015" t="s">
        <v>3064</v>
      </c>
      <c r="C9" s="3004" t="s">
        <v>3431</v>
      </c>
      <c r="D9" s="3007" t="s">
        <v>3939</v>
      </c>
      <c r="E9" s="3008" t="s">
        <v>3940</v>
      </c>
      <c r="F9" s="3019">
        <v>57.22</v>
      </c>
      <c r="G9" s="3019">
        <v>7.25</v>
      </c>
      <c r="H9" s="3016" t="s">
        <v>1373</v>
      </c>
      <c r="I9" s="3015" t="str">
        <f t="shared" si="1"/>
        <v>旅游用地</v>
      </c>
      <c r="J9" s="3010">
        <f t="shared" si="2"/>
        <v>56156</v>
      </c>
      <c r="K9" s="3007" t="str">
        <f t="shared" si="3"/>
        <v xml:space="preserve">10层 </v>
      </c>
      <c r="L9" s="3007" t="str">
        <f t="shared" si="4"/>
        <v>1层</v>
      </c>
      <c r="N9">
        <f t="shared" ca="1" si="0"/>
        <v>534091</v>
      </c>
    </row>
    <row r="10" spans="1:14" ht="24">
      <c r="A10" s="3015">
        <v>7</v>
      </c>
      <c r="B10" s="3015" t="s">
        <v>3065</v>
      </c>
      <c r="C10" s="3004" t="s">
        <v>3431</v>
      </c>
      <c r="D10" s="3007" t="s">
        <v>3941</v>
      </c>
      <c r="E10" s="3008" t="s">
        <v>3942</v>
      </c>
      <c r="F10" s="3019">
        <v>96.76</v>
      </c>
      <c r="G10" s="3019">
        <v>12.25</v>
      </c>
      <c r="H10" s="3016" t="s">
        <v>1373</v>
      </c>
      <c r="I10" s="3015" t="str">
        <f t="shared" si="1"/>
        <v>旅游用地</v>
      </c>
      <c r="J10" s="3010">
        <f t="shared" si="2"/>
        <v>56156</v>
      </c>
      <c r="K10" s="3007" t="str">
        <f t="shared" si="3"/>
        <v xml:space="preserve">10层 </v>
      </c>
      <c r="L10" s="3007" t="str">
        <f t="shared" si="4"/>
        <v>1层</v>
      </c>
      <c r="N10">
        <f t="shared" ca="1" si="0"/>
        <v>903158</v>
      </c>
    </row>
    <row r="11" spans="1:14" ht="24">
      <c r="A11" s="3015">
        <v>8</v>
      </c>
      <c r="B11" s="3015" t="s">
        <v>3066</v>
      </c>
      <c r="C11" s="3004" t="s">
        <v>3943</v>
      </c>
      <c r="D11" s="3007" t="s">
        <v>3944</v>
      </c>
      <c r="E11" s="3008" t="s">
        <v>3945</v>
      </c>
      <c r="F11" s="3019">
        <v>96.76</v>
      </c>
      <c r="G11" s="3019">
        <v>12.25</v>
      </c>
      <c r="H11" s="3016" t="s">
        <v>1373</v>
      </c>
      <c r="I11" s="3015" t="str">
        <f t="shared" si="1"/>
        <v>旅游用地</v>
      </c>
      <c r="J11" s="3010">
        <f t="shared" si="2"/>
        <v>56156</v>
      </c>
      <c r="K11" s="3007" t="str">
        <f t="shared" si="3"/>
        <v xml:space="preserve">10层 </v>
      </c>
      <c r="L11" s="3007" t="str">
        <f t="shared" si="4"/>
        <v>1层</v>
      </c>
      <c r="N11">
        <f t="shared" ca="1" si="0"/>
        <v>903158</v>
      </c>
    </row>
    <row r="12" spans="1:14" ht="24">
      <c r="A12" s="3015">
        <v>9</v>
      </c>
      <c r="B12" s="3015" t="s">
        <v>3067</v>
      </c>
      <c r="C12" s="3004" t="s">
        <v>3431</v>
      </c>
      <c r="D12" s="3007" t="s">
        <v>3946</v>
      </c>
      <c r="E12" s="3008" t="s">
        <v>3947</v>
      </c>
      <c r="F12" s="3019">
        <v>57.22</v>
      </c>
      <c r="G12" s="3019">
        <v>7.25</v>
      </c>
      <c r="H12" s="3016" t="s">
        <v>1373</v>
      </c>
      <c r="I12" s="3015" t="str">
        <f t="shared" si="1"/>
        <v>旅游用地</v>
      </c>
      <c r="J12" s="3010">
        <f t="shared" si="2"/>
        <v>56156</v>
      </c>
      <c r="K12" s="3007" t="str">
        <f t="shared" si="3"/>
        <v xml:space="preserve">10层 </v>
      </c>
      <c r="L12" s="3007" t="str">
        <f t="shared" si="4"/>
        <v>1层</v>
      </c>
      <c r="N12">
        <f t="shared" ca="1" si="0"/>
        <v>534091</v>
      </c>
    </row>
    <row r="13" spans="1:14" ht="24">
      <c r="A13" s="3015">
        <v>10</v>
      </c>
      <c r="B13" s="3015" t="s">
        <v>3068</v>
      </c>
      <c r="C13" s="3004" t="s">
        <v>3431</v>
      </c>
      <c r="D13" s="3007" t="s">
        <v>3948</v>
      </c>
      <c r="E13" s="3008" t="s">
        <v>3949</v>
      </c>
      <c r="F13" s="3019">
        <v>67.150000000000006</v>
      </c>
      <c r="G13" s="3019">
        <v>8.5</v>
      </c>
      <c r="H13" s="3016" t="s">
        <v>1373</v>
      </c>
      <c r="I13" s="3015" t="str">
        <f t="shared" si="1"/>
        <v>旅游用地</v>
      </c>
      <c r="J13" s="3010">
        <f t="shared" si="2"/>
        <v>56156</v>
      </c>
      <c r="K13" s="3007" t="str">
        <f t="shared" si="3"/>
        <v xml:space="preserve">10层 </v>
      </c>
      <c r="L13" s="3007" t="str">
        <f t="shared" si="4"/>
        <v>1层</v>
      </c>
      <c r="N13">
        <f t="shared" ca="1" si="0"/>
        <v>626778</v>
      </c>
    </row>
    <row r="14" spans="1:14" ht="24">
      <c r="A14" s="3015">
        <v>11</v>
      </c>
      <c r="B14" s="3015" t="s">
        <v>3069</v>
      </c>
      <c r="C14" s="3004" t="s">
        <v>3431</v>
      </c>
      <c r="D14" s="3007" t="s">
        <v>3950</v>
      </c>
      <c r="E14" s="3008" t="s">
        <v>3951</v>
      </c>
      <c r="F14" s="3019">
        <v>54.01</v>
      </c>
      <c r="G14" s="3019">
        <v>6.84</v>
      </c>
      <c r="H14" s="3016" t="s">
        <v>1373</v>
      </c>
      <c r="I14" s="3015" t="str">
        <f t="shared" si="1"/>
        <v>旅游用地</v>
      </c>
      <c r="J14" s="3010">
        <f t="shared" si="2"/>
        <v>56156</v>
      </c>
      <c r="K14" s="3007" t="str">
        <f t="shared" si="3"/>
        <v xml:space="preserve">10层 </v>
      </c>
      <c r="L14" s="3007" t="str">
        <f t="shared" si="4"/>
        <v>1层</v>
      </c>
      <c r="N14">
        <f t="shared" ca="1" si="0"/>
        <v>504129</v>
      </c>
    </row>
    <row r="15" spans="1:14" ht="24">
      <c r="A15" s="3015">
        <v>12</v>
      </c>
      <c r="B15" s="3015" t="s">
        <v>3070</v>
      </c>
      <c r="C15" s="3004" t="s">
        <v>3431</v>
      </c>
      <c r="D15" s="3007" t="s">
        <v>3952</v>
      </c>
      <c r="E15" s="3008" t="s">
        <v>3953</v>
      </c>
      <c r="F15" s="3019">
        <v>73.91</v>
      </c>
      <c r="G15" s="3019">
        <v>9.36</v>
      </c>
      <c r="H15" s="3016" t="s">
        <v>1373</v>
      </c>
      <c r="I15" s="3015" t="str">
        <f t="shared" si="1"/>
        <v>旅游用地</v>
      </c>
      <c r="J15" s="3010">
        <f t="shared" si="2"/>
        <v>56156</v>
      </c>
      <c r="K15" s="3007" t="str">
        <f t="shared" si="3"/>
        <v xml:space="preserve">10层 </v>
      </c>
      <c r="L15" s="3007" t="str">
        <f t="shared" si="4"/>
        <v>1层</v>
      </c>
      <c r="N15">
        <f t="shared" ca="1" si="0"/>
        <v>689876</v>
      </c>
    </row>
    <row r="16" spans="1:14" ht="24">
      <c r="A16" s="3015">
        <v>13</v>
      </c>
      <c r="B16" s="3015" t="s">
        <v>3077</v>
      </c>
      <c r="C16" s="3004" t="s">
        <v>3431</v>
      </c>
      <c r="D16" s="3007" t="s">
        <v>3954</v>
      </c>
      <c r="E16" s="3008" t="s">
        <v>3955</v>
      </c>
      <c r="F16" s="3019">
        <v>68.13</v>
      </c>
      <c r="G16" s="3019">
        <v>8.6300000000000008</v>
      </c>
      <c r="H16" s="3016" t="s">
        <v>1373</v>
      </c>
      <c r="I16" s="3015" t="str">
        <f t="shared" si="1"/>
        <v>旅游用地</v>
      </c>
      <c r="J16" s="3010">
        <f t="shared" si="2"/>
        <v>56156</v>
      </c>
      <c r="K16" s="3007" t="str">
        <f t="shared" si="3"/>
        <v xml:space="preserve">10层 </v>
      </c>
      <c r="L16" s="3007" t="s">
        <v>3956</v>
      </c>
      <c r="N16">
        <f t="shared" ca="1" si="0"/>
        <v>635925</v>
      </c>
    </row>
    <row r="17" spans="1:14" ht="24">
      <c r="A17" s="3015">
        <v>14</v>
      </c>
      <c r="B17" s="3015" t="s">
        <v>3078</v>
      </c>
      <c r="C17" s="3004" t="s">
        <v>3431</v>
      </c>
      <c r="D17" s="3007" t="s">
        <v>3957</v>
      </c>
      <c r="E17" s="3008" t="s">
        <v>3958</v>
      </c>
      <c r="F17" s="3019">
        <v>52.64</v>
      </c>
      <c r="G17" s="3019">
        <v>6.67</v>
      </c>
      <c r="H17" s="3016" t="s">
        <v>1373</v>
      </c>
      <c r="I17" s="3015" t="str">
        <f t="shared" si="1"/>
        <v>旅游用地</v>
      </c>
      <c r="J17" s="3010">
        <f t="shared" si="2"/>
        <v>56156</v>
      </c>
      <c r="K17" s="3007" t="str">
        <f t="shared" si="3"/>
        <v xml:space="preserve">10层 </v>
      </c>
      <c r="L17" s="3007" t="str">
        <f>$L$16</f>
        <v>2层</v>
      </c>
      <c r="N17">
        <f t="shared" ca="1" si="0"/>
        <v>491342</v>
      </c>
    </row>
    <row r="18" spans="1:14" ht="24">
      <c r="A18" s="3015">
        <v>15</v>
      </c>
      <c r="B18" s="3015" t="s">
        <v>3079</v>
      </c>
      <c r="C18" s="3004" t="s">
        <v>3431</v>
      </c>
      <c r="D18" s="3007" t="s">
        <v>3959</v>
      </c>
      <c r="E18" s="3008" t="s">
        <v>3960</v>
      </c>
      <c r="F18" s="3019">
        <v>52.53</v>
      </c>
      <c r="G18" s="3019">
        <v>6.65</v>
      </c>
      <c r="H18" s="3016" t="s">
        <v>1373</v>
      </c>
      <c r="I18" s="3015" t="str">
        <f t="shared" si="1"/>
        <v>旅游用地</v>
      </c>
      <c r="J18" s="3010">
        <f t="shared" si="2"/>
        <v>56156</v>
      </c>
      <c r="K18" s="3007" t="str">
        <f t="shared" si="3"/>
        <v xml:space="preserve">10层 </v>
      </c>
      <c r="L18" s="3007" t="str">
        <f t="shared" ref="L18:L29" si="5">$L$16</f>
        <v>2层</v>
      </c>
      <c r="N18">
        <f t="shared" ca="1" si="0"/>
        <v>490315</v>
      </c>
    </row>
    <row r="19" spans="1:14" ht="24">
      <c r="A19" s="3015">
        <v>16</v>
      </c>
      <c r="B19" s="3015" t="s">
        <v>3080</v>
      </c>
      <c r="C19" s="3004" t="s">
        <v>3431</v>
      </c>
      <c r="D19" s="3007" t="s">
        <v>3961</v>
      </c>
      <c r="E19" s="3008" t="s">
        <v>3962</v>
      </c>
      <c r="F19" s="3019">
        <v>52.89</v>
      </c>
      <c r="G19" s="3019">
        <v>6.7</v>
      </c>
      <c r="H19" s="3016" t="s">
        <v>1373</v>
      </c>
      <c r="I19" s="3015" t="str">
        <f t="shared" si="1"/>
        <v>旅游用地</v>
      </c>
      <c r="J19" s="3010">
        <f t="shared" si="2"/>
        <v>56156</v>
      </c>
      <c r="K19" s="3007" t="str">
        <f t="shared" si="3"/>
        <v xml:space="preserve">10层 </v>
      </c>
      <c r="L19" s="3007" t="str">
        <f t="shared" si="5"/>
        <v>2层</v>
      </c>
      <c r="N19">
        <f t="shared" ca="1" si="0"/>
        <v>493675</v>
      </c>
    </row>
    <row r="20" spans="1:14" ht="24">
      <c r="A20" s="3015">
        <v>17</v>
      </c>
      <c r="B20" s="3015" t="s">
        <v>3081</v>
      </c>
      <c r="C20" s="3004" t="s">
        <v>3431</v>
      </c>
      <c r="D20" s="3007" t="s">
        <v>3963</v>
      </c>
      <c r="E20" s="3008" t="s">
        <v>3964</v>
      </c>
      <c r="F20" s="3019">
        <v>65.41</v>
      </c>
      <c r="G20" s="3019">
        <v>8.2799999999999994</v>
      </c>
      <c r="H20" s="3016" t="s">
        <v>1373</v>
      </c>
      <c r="I20" s="3015" t="str">
        <f t="shared" si="1"/>
        <v>旅游用地</v>
      </c>
      <c r="J20" s="3010">
        <f t="shared" si="2"/>
        <v>56156</v>
      </c>
      <c r="K20" s="3007" t="str">
        <f t="shared" si="3"/>
        <v xml:space="preserve">10层 </v>
      </c>
      <c r="L20" s="3007" t="str">
        <f t="shared" si="5"/>
        <v>2层</v>
      </c>
      <c r="N20">
        <f t="shared" ca="1" si="0"/>
        <v>610537</v>
      </c>
    </row>
    <row r="21" spans="1:14" ht="24">
      <c r="A21" s="3015">
        <v>18</v>
      </c>
      <c r="B21" s="3015" t="s">
        <v>3082</v>
      </c>
      <c r="C21" s="3004" t="s">
        <v>3431</v>
      </c>
      <c r="D21" s="3007" t="s">
        <v>3965</v>
      </c>
      <c r="E21" s="3008" t="s">
        <v>3966</v>
      </c>
      <c r="F21" s="3019">
        <v>55.76</v>
      </c>
      <c r="G21" s="3019">
        <v>7.06</v>
      </c>
      <c r="H21" s="3016" t="s">
        <v>1373</v>
      </c>
      <c r="I21" s="3015" t="str">
        <f t="shared" si="1"/>
        <v>旅游用地</v>
      </c>
      <c r="J21" s="3010">
        <f t="shared" si="2"/>
        <v>56156</v>
      </c>
      <c r="K21" s="3007" t="str">
        <f t="shared" si="3"/>
        <v xml:space="preserve">10层 </v>
      </c>
      <c r="L21" s="3007" t="str">
        <f t="shared" si="5"/>
        <v>2层</v>
      </c>
      <c r="N21">
        <f t="shared" ca="1" si="0"/>
        <v>520464</v>
      </c>
    </row>
    <row r="22" spans="1:14" ht="24">
      <c r="A22" s="3015">
        <v>19</v>
      </c>
      <c r="B22" s="3015" t="s">
        <v>3083</v>
      </c>
      <c r="C22" s="3004" t="s">
        <v>3431</v>
      </c>
      <c r="D22" s="3007" t="s">
        <v>3967</v>
      </c>
      <c r="E22" s="3008" t="s">
        <v>3968</v>
      </c>
      <c r="F22" s="3019">
        <v>94.3</v>
      </c>
      <c r="G22" s="3019">
        <v>11.94</v>
      </c>
      <c r="H22" s="3016" t="s">
        <v>1373</v>
      </c>
      <c r="I22" s="3015" t="str">
        <f t="shared" si="1"/>
        <v>旅游用地</v>
      </c>
      <c r="J22" s="3010">
        <f t="shared" si="2"/>
        <v>56156</v>
      </c>
      <c r="K22" s="3007" t="str">
        <f t="shared" si="3"/>
        <v xml:space="preserve">10层 </v>
      </c>
      <c r="L22" s="3007" t="str">
        <f t="shared" si="5"/>
        <v>2层</v>
      </c>
      <c r="N22">
        <f t="shared" ca="1" si="0"/>
        <v>880196</v>
      </c>
    </row>
    <row r="23" spans="1:14" ht="24">
      <c r="A23" s="3015">
        <v>20</v>
      </c>
      <c r="B23" s="3015" t="s">
        <v>3084</v>
      </c>
      <c r="C23" s="3004" t="s">
        <v>3934</v>
      </c>
      <c r="D23" s="3007" t="s">
        <v>3969</v>
      </c>
      <c r="E23" s="3008" t="s">
        <v>3970</v>
      </c>
      <c r="F23" s="3019">
        <v>94.3</v>
      </c>
      <c r="G23" s="3019">
        <v>11.94</v>
      </c>
      <c r="H23" s="3016" t="s">
        <v>1373</v>
      </c>
      <c r="I23" s="3015" t="str">
        <f t="shared" si="1"/>
        <v>旅游用地</v>
      </c>
      <c r="J23" s="3010">
        <f t="shared" si="2"/>
        <v>56156</v>
      </c>
      <c r="K23" s="3007" t="str">
        <f t="shared" si="3"/>
        <v xml:space="preserve">10层 </v>
      </c>
      <c r="L23" s="3007" t="str">
        <f t="shared" si="5"/>
        <v>2层</v>
      </c>
      <c r="N23">
        <f t="shared" ca="1" si="0"/>
        <v>880196</v>
      </c>
    </row>
    <row r="24" spans="1:14" ht="24">
      <c r="A24" s="3015">
        <v>21</v>
      </c>
      <c r="B24" s="3015" t="s">
        <v>3085</v>
      </c>
      <c r="C24" s="3004" t="s">
        <v>3431</v>
      </c>
      <c r="D24" s="3007" t="s">
        <v>3971</v>
      </c>
      <c r="E24" s="3008" t="s">
        <v>3972</v>
      </c>
      <c r="F24" s="3019">
        <v>55.76</v>
      </c>
      <c r="G24" s="3019">
        <v>7.06</v>
      </c>
      <c r="H24" s="3016" t="s">
        <v>1373</v>
      </c>
      <c r="I24" s="3015" t="str">
        <f t="shared" si="1"/>
        <v>旅游用地</v>
      </c>
      <c r="J24" s="3010">
        <f t="shared" si="2"/>
        <v>56156</v>
      </c>
      <c r="K24" s="3007" t="str">
        <f t="shared" si="3"/>
        <v xml:space="preserve">10层 </v>
      </c>
      <c r="L24" s="3007" t="str">
        <f t="shared" si="5"/>
        <v>2层</v>
      </c>
      <c r="N24">
        <f t="shared" ca="1" si="0"/>
        <v>520464</v>
      </c>
    </row>
    <row r="25" spans="1:14" ht="24">
      <c r="A25" s="3015">
        <v>22</v>
      </c>
      <c r="B25" s="3015" t="s">
        <v>3086</v>
      </c>
      <c r="C25" s="3004" t="s">
        <v>3431</v>
      </c>
      <c r="D25" s="3007" t="s">
        <v>3973</v>
      </c>
      <c r="E25" s="3008" t="s">
        <v>3974</v>
      </c>
      <c r="F25" s="3019">
        <v>65.41</v>
      </c>
      <c r="G25" s="3019">
        <v>8.2799999999999994</v>
      </c>
      <c r="H25" s="3016" t="s">
        <v>1373</v>
      </c>
      <c r="I25" s="3015" t="str">
        <f t="shared" si="1"/>
        <v>旅游用地</v>
      </c>
      <c r="J25" s="3010">
        <f t="shared" si="2"/>
        <v>56156</v>
      </c>
      <c r="K25" s="3007" t="str">
        <f t="shared" si="3"/>
        <v xml:space="preserve">10层 </v>
      </c>
      <c r="L25" s="3007" t="str">
        <f t="shared" si="5"/>
        <v>2层</v>
      </c>
      <c r="N25">
        <f t="shared" ca="1" si="0"/>
        <v>610537</v>
      </c>
    </row>
    <row r="26" spans="1:14" ht="24">
      <c r="A26" s="3015">
        <v>23</v>
      </c>
      <c r="B26" s="3015" t="s">
        <v>3087</v>
      </c>
      <c r="C26" s="3004" t="s">
        <v>3431</v>
      </c>
      <c r="D26" s="3007" t="s">
        <v>3975</v>
      </c>
      <c r="E26" s="3008" t="s">
        <v>3976</v>
      </c>
      <c r="F26" s="3019">
        <v>52.89</v>
      </c>
      <c r="G26" s="3019">
        <v>6.7</v>
      </c>
      <c r="H26" s="3016" t="s">
        <v>1373</v>
      </c>
      <c r="I26" s="3015" t="str">
        <f t="shared" si="1"/>
        <v>旅游用地</v>
      </c>
      <c r="J26" s="3010">
        <f t="shared" si="2"/>
        <v>56156</v>
      </c>
      <c r="K26" s="3007" t="str">
        <f t="shared" si="3"/>
        <v xml:space="preserve">10层 </v>
      </c>
      <c r="L26" s="3007" t="str">
        <f t="shared" si="5"/>
        <v>2层</v>
      </c>
      <c r="N26">
        <f t="shared" ca="1" si="0"/>
        <v>493675</v>
      </c>
    </row>
    <row r="27" spans="1:14" ht="24">
      <c r="A27" s="3015">
        <v>24</v>
      </c>
      <c r="B27" s="3015" t="s">
        <v>3088</v>
      </c>
      <c r="C27" s="3004" t="s">
        <v>3431</v>
      </c>
      <c r="D27" s="3007" t="s">
        <v>3977</v>
      </c>
      <c r="E27" s="3008" t="s">
        <v>3978</v>
      </c>
      <c r="F27" s="3019">
        <v>52.53</v>
      </c>
      <c r="G27" s="3019">
        <v>6.65</v>
      </c>
      <c r="H27" s="3016" t="s">
        <v>1373</v>
      </c>
      <c r="I27" s="3015" t="str">
        <f t="shared" si="1"/>
        <v>旅游用地</v>
      </c>
      <c r="J27" s="3010">
        <f t="shared" si="2"/>
        <v>56156</v>
      </c>
      <c r="K27" s="3007" t="str">
        <f t="shared" si="3"/>
        <v xml:space="preserve">10层 </v>
      </c>
      <c r="L27" s="3007" t="str">
        <f t="shared" si="5"/>
        <v>2层</v>
      </c>
      <c r="N27">
        <f t="shared" ca="1" si="0"/>
        <v>490315</v>
      </c>
    </row>
    <row r="28" spans="1:14" ht="24">
      <c r="A28" s="3015">
        <v>25</v>
      </c>
      <c r="B28" s="3015" t="s">
        <v>3089</v>
      </c>
      <c r="C28" s="3004" t="s">
        <v>3431</v>
      </c>
      <c r="D28" s="3007" t="s">
        <v>3979</v>
      </c>
      <c r="E28" s="3008" t="s">
        <v>3980</v>
      </c>
      <c r="F28" s="3019">
        <v>52.64</v>
      </c>
      <c r="G28" s="3019">
        <v>6.67</v>
      </c>
      <c r="H28" s="3016" t="s">
        <v>1373</v>
      </c>
      <c r="I28" s="3015" t="str">
        <f t="shared" si="1"/>
        <v>旅游用地</v>
      </c>
      <c r="J28" s="3010">
        <f t="shared" si="2"/>
        <v>56156</v>
      </c>
      <c r="K28" s="3007" t="str">
        <f t="shared" si="3"/>
        <v xml:space="preserve">10层 </v>
      </c>
      <c r="L28" s="3007" t="str">
        <f t="shared" si="5"/>
        <v>2层</v>
      </c>
      <c r="N28">
        <f t="shared" ca="1" si="0"/>
        <v>491342</v>
      </c>
    </row>
    <row r="29" spans="1:14" ht="24">
      <c r="A29" s="3015">
        <v>26</v>
      </c>
      <c r="B29" s="3015" t="s">
        <v>3090</v>
      </c>
      <c r="C29" s="3004" t="s">
        <v>3934</v>
      </c>
      <c r="D29" s="3007" t="s">
        <v>3981</v>
      </c>
      <c r="E29" s="3008" t="s">
        <v>3982</v>
      </c>
      <c r="F29" s="3019">
        <v>72.040000000000006</v>
      </c>
      <c r="G29" s="3019">
        <v>9.1199999999999992</v>
      </c>
      <c r="H29" s="3016" t="s">
        <v>1373</v>
      </c>
      <c r="I29" s="3015" t="str">
        <f t="shared" si="1"/>
        <v>旅游用地</v>
      </c>
      <c r="J29" s="3010">
        <f t="shared" si="2"/>
        <v>56156</v>
      </c>
      <c r="K29" s="3007" t="str">
        <f t="shared" si="3"/>
        <v xml:space="preserve">10层 </v>
      </c>
      <c r="L29" s="3007" t="str">
        <f t="shared" si="5"/>
        <v>2层</v>
      </c>
      <c r="N29">
        <f t="shared" ca="1" si="0"/>
        <v>672421</v>
      </c>
    </row>
    <row r="30" spans="1:14" ht="24">
      <c r="A30" s="3015">
        <v>27</v>
      </c>
      <c r="B30" s="3015" t="s">
        <v>3099</v>
      </c>
      <c r="C30" s="3004" t="s">
        <v>3431</v>
      </c>
      <c r="D30" s="3007" t="s">
        <v>3983</v>
      </c>
      <c r="E30" s="3008" t="s">
        <v>3984</v>
      </c>
      <c r="F30" s="3019">
        <v>68.13</v>
      </c>
      <c r="G30" s="3019">
        <v>8.6300000000000008</v>
      </c>
      <c r="H30" s="3016" t="s">
        <v>1373</v>
      </c>
      <c r="I30" s="3015" t="str">
        <f t="shared" si="1"/>
        <v>旅游用地</v>
      </c>
      <c r="J30" s="3010">
        <f t="shared" si="2"/>
        <v>56156</v>
      </c>
      <c r="K30" s="3007" t="str">
        <f t="shared" si="3"/>
        <v xml:space="preserve">10层 </v>
      </c>
      <c r="L30" s="3007" t="s">
        <v>3522</v>
      </c>
      <c r="N30">
        <f t="shared" ca="1" si="0"/>
        <v>635925</v>
      </c>
    </row>
    <row r="31" spans="1:14" ht="24">
      <c r="A31" s="3015">
        <v>28</v>
      </c>
      <c r="B31" s="3015" t="s">
        <v>3100</v>
      </c>
      <c r="C31" s="3004" t="s">
        <v>3431</v>
      </c>
      <c r="D31" s="3007" t="s">
        <v>3985</v>
      </c>
      <c r="E31" s="3008" t="s">
        <v>3986</v>
      </c>
      <c r="F31" s="3019">
        <v>52.64</v>
      </c>
      <c r="G31" s="3019">
        <v>6.67</v>
      </c>
      <c r="H31" s="3016" t="s">
        <v>1373</v>
      </c>
      <c r="I31" s="3015" t="str">
        <f t="shared" si="1"/>
        <v>旅游用地</v>
      </c>
      <c r="J31" s="3010">
        <f t="shared" si="2"/>
        <v>56156</v>
      </c>
      <c r="K31" s="3007" t="str">
        <f t="shared" si="3"/>
        <v xml:space="preserve">10层 </v>
      </c>
      <c r="L31" s="3007" t="str">
        <f>$L$30</f>
        <v>3层</v>
      </c>
      <c r="N31">
        <f t="shared" ca="1" si="0"/>
        <v>491342</v>
      </c>
    </row>
    <row r="32" spans="1:14" ht="24">
      <c r="A32" s="3015">
        <v>29</v>
      </c>
      <c r="B32" s="3015" t="s">
        <v>3101</v>
      </c>
      <c r="C32" s="3004" t="s">
        <v>3431</v>
      </c>
      <c r="D32" s="3007" t="s">
        <v>3987</v>
      </c>
      <c r="E32" s="3008" t="s">
        <v>3988</v>
      </c>
      <c r="F32" s="3019">
        <v>52.53</v>
      </c>
      <c r="G32" s="3019">
        <v>6.65</v>
      </c>
      <c r="H32" s="3016" t="s">
        <v>1373</v>
      </c>
      <c r="I32" s="3015" t="str">
        <f t="shared" si="1"/>
        <v>旅游用地</v>
      </c>
      <c r="J32" s="3010">
        <f t="shared" si="2"/>
        <v>56156</v>
      </c>
      <c r="K32" s="3007" t="str">
        <f t="shared" si="3"/>
        <v xml:space="preserve">10层 </v>
      </c>
      <c r="L32" s="3007" t="str">
        <f t="shared" ref="L32:L43" si="6">$L$30</f>
        <v>3层</v>
      </c>
      <c r="N32">
        <f t="shared" ca="1" si="0"/>
        <v>490315</v>
      </c>
    </row>
    <row r="33" spans="1:14" ht="24">
      <c r="A33" s="3015">
        <v>30</v>
      </c>
      <c r="B33" s="3015" t="s">
        <v>3102</v>
      </c>
      <c r="C33" s="3004" t="s">
        <v>3431</v>
      </c>
      <c r="D33" s="3007" t="s">
        <v>3989</v>
      </c>
      <c r="E33" s="3008" t="s">
        <v>3990</v>
      </c>
      <c r="F33" s="3019">
        <v>52.89</v>
      </c>
      <c r="G33" s="3019">
        <v>6.7</v>
      </c>
      <c r="H33" s="3016" t="s">
        <v>1373</v>
      </c>
      <c r="I33" s="3015" t="str">
        <f t="shared" si="1"/>
        <v>旅游用地</v>
      </c>
      <c r="J33" s="3010">
        <f t="shared" si="2"/>
        <v>56156</v>
      </c>
      <c r="K33" s="3007" t="str">
        <f t="shared" si="3"/>
        <v xml:space="preserve">10层 </v>
      </c>
      <c r="L33" s="3007" t="str">
        <f t="shared" si="6"/>
        <v>3层</v>
      </c>
      <c r="N33">
        <f t="shared" ca="1" si="0"/>
        <v>493675</v>
      </c>
    </row>
    <row r="34" spans="1:14" ht="24">
      <c r="A34" s="3015">
        <v>31</v>
      </c>
      <c r="B34" s="3015" t="s">
        <v>3103</v>
      </c>
      <c r="C34" s="3004" t="s">
        <v>3527</v>
      </c>
      <c r="D34" s="3007" t="s">
        <v>3991</v>
      </c>
      <c r="E34" s="3008" t="s">
        <v>3992</v>
      </c>
      <c r="F34" s="3019">
        <v>65.41</v>
      </c>
      <c r="G34" s="3019">
        <v>8.2799999999999994</v>
      </c>
      <c r="H34" s="3016" t="s">
        <v>1373</v>
      </c>
      <c r="I34" s="3015" t="str">
        <f t="shared" si="1"/>
        <v>旅游用地</v>
      </c>
      <c r="J34" s="3010">
        <f t="shared" si="2"/>
        <v>56156</v>
      </c>
      <c r="K34" s="3007" t="str">
        <f t="shared" si="3"/>
        <v xml:space="preserve">10层 </v>
      </c>
      <c r="L34" s="3007" t="str">
        <f t="shared" si="6"/>
        <v>3层</v>
      </c>
      <c r="N34">
        <f t="shared" ca="1" si="0"/>
        <v>610537</v>
      </c>
    </row>
    <row r="35" spans="1:14" ht="24">
      <c r="A35" s="3015">
        <v>32</v>
      </c>
      <c r="B35" s="3015" t="s">
        <v>3104</v>
      </c>
      <c r="C35" s="3004" t="s">
        <v>3993</v>
      </c>
      <c r="D35" s="3007" t="s">
        <v>3994</v>
      </c>
      <c r="E35" s="3008" t="s">
        <v>3995</v>
      </c>
      <c r="F35" s="3019">
        <v>55.76</v>
      </c>
      <c r="G35" s="3019">
        <v>7.06</v>
      </c>
      <c r="H35" s="3016" t="s">
        <v>1373</v>
      </c>
      <c r="I35" s="3015" t="str">
        <f t="shared" si="1"/>
        <v>旅游用地</v>
      </c>
      <c r="J35" s="3010">
        <f t="shared" si="2"/>
        <v>56156</v>
      </c>
      <c r="K35" s="3007" t="str">
        <f t="shared" si="3"/>
        <v xml:space="preserve">10层 </v>
      </c>
      <c r="L35" s="3007" t="str">
        <f t="shared" si="6"/>
        <v>3层</v>
      </c>
      <c r="N35">
        <f t="shared" ca="1" si="0"/>
        <v>520464</v>
      </c>
    </row>
    <row r="36" spans="1:14" ht="24">
      <c r="A36" s="3015">
        <v>33</v>
      </c>
      <c r="B36" s="3015" t="s">
        <v>3105</v>
      </c>
      <c r="C36" s="3004" t="s">
        <v>3996</v>
      </c>
      <c r="D36" s="3007" t="s">
        <v>3997</v>
      </c>
      <c r="E36" s="3008" t="s">
        <v>3998</v>
      </c>
      <c r="F36" s="3019">
        <v>94.3</v>
      </c>
      <c r="G36" s="3019">
        <v>11.94</v>
      </c>
      <c r="H36" s="3016" t="s">
        <v>1373</v>
      </c>
      <c r="I36" s="3015" t="str">
        <f t="shared" si="1"/>
        <v>旅游用地</v>
      </c>
      <c r="J36" s="3010">
        <f t="shared" si="2"/>
        <v>56156</v>
      </c>
      <c r="K36" s="3007" t="str">
        <f t="shared" si="3"/>
        <v xml:space="preserve">10层 </v>
      </c>
      <c r="L36" s="3007" t="str">
        <f t="shared" si="6"/>
        <v>3层</v>
      </c>
      <c r="N36">
        <f t="shared" ca="1" si="0"/>
        <v>880196</v>
      </c>
    </row>
    <row r="37" spans="1:14" ht="24">
      <c r="A37" s="3015">
        <v>34</v>
      </c>
      <c r="B37" s="3015" t="s">
        <v>3106</v>
      </c>
      <c r="C37" s="3004" t="s">
        <v>3999</v>
      </c>
      <c r="D37" s="3007" t="s">
        <v>4000</v>
      </c>
      <c r="E37" s="3008" t="s">
        <v>4001</v>
      </c>
      <c r="F37" s="3019">
        <v>94.3</v>
      </c>
      <c r="G37" s="3019">
        <v>11.94</v>
      </c>
      <c r="H37" s="3016" t="s">
        <v>1373</v>
      </c>
      <c r="I37" s="3015" t="str">
        <f t="shared" si="1"/>
        <v>旅游用地</v>
      </c>
      <c r="J37" s="3010">
        <f t="shared" si="2"/>
        <v>56156</v>
      </c>
      <c r="K37" s="3007" t="str">
        <f t="shared" si="3"/>
        <v xml:space="preserve">10层 </v>
      </c>
      <c r="L37" s="3007" t="str">
        <f t="shared" si="6"/>
        <v>3层</v>
      </c>
      <c r="N37">
        <f t="shared" ca="1" si="0"/>
        <v>880196</v>
      </c>
    </row>
    <row r="38" spans="1:14" ht="24">
      <c r="A38" s="3015">
        <v>35</v>
      </c>
      <c r="B38" s="3015" t="s">
        <v>3107</v>
      </c>
      <c r="C38" s="3004" t="s">
        <v>4002</v>
      </c>
      <c r="D38" s="3007" t="s">
        <v>4003</v>
      </c>
      <c r="E38" s="3008" t="s">
        <v>4004</v>
      </c>
      <c r="F38" s="3019">
        <v>55.76</v>
      </c>
      <c r="G38" s="3019">
        <v>7.06</v>
      </c>
      <c r="H38" s="3016" t="s">
        <v>1373</v>
      </c>
      <c r="I38" s="3015" t="str">
        <f t="shared" si="1"/>
        <v>旅游用地</v>
      </c>
      <c r="J38" s="3010">
        <f t="shared" si="2"/>
        <v>56156</v>
      </c>
      <c r="K38" s="3007" t="str">
        <f t="shared" si="3"/>
        <v xml:space="preserve">10层 </v>
      </c>
      <c r="L38" s="3007" t="str">
        <f t="shared" si="6"/>
        <v>3层</v>
      </c>
      <c r="N38">
        <f t="shared" ca="1" si="0"/>
        <v>520464</v>
      </c>
    </row>
    <row r="39" spans="1:14" ht="24">
      <c r="A39" s="3015">
        <v>36</v>
      </c>
      <c r="B39" s="3015" t="s">
        <v>3108</v>
      </c>
      <c r="C39" s="3004" t="s">
        <v>4005</v>
      </c>
      <c r="D39" s="3007" t="s">
        <v>4006</v>
      </c>
      <c r="E39" s="3008" t="s">
        <v>4007</v>
      </c>
      <c r="F39" s="3019">
        <v>65.41</v>
      </c>
      <c r="G39" s="3019">
        <v>8.2799999999999994</v>
      </c>
      <c r="H39" s="3016" t="s">
        <v>1373</v>
      </c>
      <c r="I39" s="3015" t="str">
        <f t="shared" si="1"/>
        <v>旅游用地</v>
      </c>
      <c r="J39" s="3010">
        <f t="shared" si="2"/>
        <v>56156</v>
      </c>
      <c r="K39" s="3007" t="str">
        <f t="shared" si="3"/>
        <v xml:space="preserve">10层 </v>
      </c>
      <c r="L39" s="3007" t="str">
        <f t="shared" si="6"/>
        <v>3层</v>
      </c>
      <c r="N39">
        <f t="shared" ca="1" si="0"/>
        <v>610537</v>
      </c>
    </row>
    <row r="40" spans="1:14" ht="24">
      <c r="A40" s="3015">
        <v>37</v>
      </c>
      <c r="B40" s="3015" t="s">
        <v>3109</v>
      </c>
      <c r="C40" s="3004" t="s">
        <v>3993</v>
      </c>
      <c r="D40" s="3007" t="s">
        <v>4008</v>
      </c>
      <c r="E40" s="3008" t="s">
        <v>4009</v>
      </c>
      <c r="F40" s="3019">
        <v>52.89</v>
      </c>
      <c r="G40" s="3019">
        <v>6.7</v>
      </c>
      <c r="H40" s="3016" t="s">
        <v>1373</v>
      </c>
      <c r="I40" s="3015" t="str">
        <f t="shared" si="1"/>
        <v>旅游用地</v>
      </c>
      <c r="J40" s="3010">
        <f t="shared" si="2"/>
        <v>56156</v>
      </c>
      <c r="K40" s="3007" t="str">
        <f t="shared" si="3"/>
        <v xml:space="preserve">10层 </v>
      </c>
      <c r="L40" s="3007" t="str">
        <f t="shared" si="6"/>
        <v>3层</v>
      </c>
      <c r="N40">
        <f t="shared" ca="1" si="0"/>
        <v>493675</v>
      </c>
    </row>
    <row r="41" spans="1:14" ht="24">
      <c r="A41" s="3015">
        <v>38</v>
      </c>
      <c r="B41" s="3015" t="s">
        <v>3110</v>
      </c>
      <c r="C41" s="3004" t="s">
        <v>3993</v>
      </c>
      <c r="D41" s="3007" t="s">
        <v>4010</v>
      </c>
      <c r="E41" s="3008" t="s">
        <v>4011</v>
      </c>
      <c r="F41" s="3019">
        <v>52.53</v>
      </c>
      <c r="G41" s="3019">
        <v>6.65</v>
      </c>
      <c r="H41" s="3016" t="s">
        <v>1373</v>
      </c>
      <c r="I41" s="3015" t="str">
        <f t="shared" si="1"/>
        <v>旅游用地</v>
      </c>
      <c r="J41" s="3010">
        <f t="shared" si="2"/>
        <v>56156</v>
      </c>
      <c r="K41" s="3007" t="str">
        <f t="shared" si="3"/>
        <v xml:space="preserve">10层 </v>
      </c>
      <c r="L41" s="3007" t="str">
        <f t="shared" si="6"/>
        <v>3层</v>
      </c>
      <c r="N41">
        <f t="shared" ca="1" si="0"/>
        <v>490315</v>
      </c>
    </row>
    <row r="42" spans="1:14" ht="24">
      <c r="A42" s="3015">
        <v>39</v>
      </c>
      <c r="B42" s="3015" t="s">
        <v>3111</v>
      </c>
      <c r="C42" s="3004" t="s">
        <v>4012</v>
      </c>
      <c r="D42" s="3007" t="s">
        <v>4013</v>
      </c>
      <c r="E42" s="3008" t="s">
        <v>4014</v>
      </c>
      <c r="F42" s="3019">
        <v>52.64</v>
      </c>
      <c r="G42" s="3019">
        <v>6.67</v>
      </c>
      <c r="H42" s="3016" t="s">
        <v>1373</v>
      </c>
      <c r="I42" s="3015" t="str">
        <f t="shared" si="1"/>
        <v>旅游用地</v>
      </c>
      <c r="J42" s="3010">
        <f t="shared" si="2"/>
        <v>56156</v>
      </c>
      <c r="K42" s="3007" t="str">
        <f t="shared" si="3"/>
        <v xml:space="preserve">10层 </v>
      </c>
      <c r="L42" s="3007" t="str">
        <f t="shared" si="6"/>
        <v>3层</v>
      </c>
      <c r="N42">
        <f t="shared" ca="1" si="0"/>
        <v>491342</v>
      </c>
    </row>
    <row r="43" spans="1:14" ht="24">
      <c r="A43" s="3015">
        <v>40</v>
      </c>
      <c r="B43" s="3015" t="s">
        <v>3112</v>
      </c>
      <c r="C43" s="3004" t="s">
        <v>3996</v>
      </c>
      <c r="D43" s="3007" t="s">
        <v>4015</v>
      </c>
      <c r="E43" s="3008" t="s">
        <v>4016</v>
      </c>
      <c r="F43" s="3019">
        <v>72.040000000000006</v>
      </c>
      <c r="G43" s="3019">
        <v>9.1199999999999992</v>
      </c>
      <c r="H43" s="3016" t="s">
        <v>1373</v>
      </c>
      <c r="I43" s="3015" t="str">
        <f t="shared" si="1"/>
        <v>旅游用地</v>
      </c>
      <c r="J43" s="3010">
        <f t="shared" si="2"/>
        <v>56156</v>
      </c>
      <c r="K43" s="3007" t="str">
        <f t="shared" si="3"/>
        <v xml:space="preserve">10层 </v>
      </c>
      <c r="L43" s="3007" t="str">
        <f t="shared" si="6"/>
        <v>3层</v>
      </c>
      <c r="N43">
        <f t="shared" ca="1" si="0"/>
        <v>672421</v>
      </c>
    </row>
    <row r="44" spans="1:14" ht="24">
      <c r="A44" s="3015">
        <v>41</v>
      </c>
      <c r="B44" s="3015" t="s">
        <v>3121</v>
      </c>
      <c r="C44" s="3004" t="s">
        <v>4017</v>
      </c>
      <c r="D44" s="3007" t="s">
        <v>4018</v>
      </c>
      <c r="E44" s="3008" t="s">
        <v>4019</v>
      </c>
      <c r="F44" s="3019">
        <v>68.13</v>
      </c>
      <c r="G44" s="3019">
        <v>8.6300000000000008</v>
      </c>
      <c r="H44" s="3016" t="s">
        <v>1373</v>
      </c>
      <c r="I44" s="3015" t="str">
        <f t="shared" si="1"/>
        <v>旅游用地</v>
      </c>
      <c r="J44" s="3010">
        <f t="shared" si="2"/>
        <v>56156</v>
      </c>
      <c r="K44" s="3007" t="str">
        <f t="shared" si="3"/>
        <v xml:space="preserve">10层 </v>
      </c>
      <c r="L44" s="3007" t="s">
        <v>4020</v>
      </c>
      <c r="N44">
        <f t="shared" ca="1" si="0"/>
        <v>635925</v>
      </c>
    </row>
    <row r="45" spans="1:14" ht="24">
      <c r="A45" s="3015">
        <v>42</v>
      </c>
      <c r="B45" s="3015" t="s">
        <v>3122</v>
      </c>
      <c r="C45" s="3004" t="s">
        <v>3996</v>
      </c>
      <c r="D45" s="3007" t="s">
        <v>4021</v>
      </c>
      <c r="E45" s="3008" t="s">
        <v>4022</v>
      </c>
      <c r="F45" s="3019">
        <v>52.64</v>
      </c>
      <c r="G45" s="3019">
        <v>6.67</v>
      </c>
      <c r="H45" s="3016" t="s">
        <v>1373</v>
      </c>
      <c r="I45" s="3015" t="str">
        <f t="shared" si="1"/>
        <v>旅游用地</v>
      </c>
      <c r="J45" s="3010">
        <f t="shared" si="2"/>
        <v>56156</v>
      </c>
      <c r="K45" s="3007" t="str">
        <f t="shared" si="3"/>
        <v xml:space="preserve">10层 </v>
      </c>
      <c r="L45" s="3007" t="str">
        <f>$L$44</f>
        <v>4层</v>
      </c>
      <c r="N45">
        <f t="shared" ca="1" si="0"/>
        <v>491342</v>
      </c>
    </row>
    <row r="46" spans="1:14" ht="24">
      <c r="A46" s="3015">
        <v>43</v>
      </c>
      <c r="B46" s="3015" t="s">
        <v>3123</v>
      </c>
      <c r="C46" s="3004" t="s">
        <v>4023</v>
      </c>
      <c r="D46" s="3007" t="s">
        <v>4024</v>
      </c>
      <c r="E46" s="3008" t="s">
        <v>4025</v>
      </c>
      <c r="F46" s="3019">
        <v>52.53</v>
      </c>
      <c r="G46" s="3019">
        <v>6.65</v>
      </c>
      <c r="H46" s="3016" t="s">
        <v>1373</v>
      </c>
      <c r="I46" s="3015" t="str">
        <f t="shared" si="1"/>
        <v>旅游用地</v>
      </c>
      <c r="J46" s="3010">
        <f t="shared" si="2"/>
        <v>56156</v>
      </c>
      <c r="K46" s="3007" t="str">
        <f t="shared" si="3"/>
        <v xml:space="preserve">10层 </v>
      </c>
      <c r="L46" s="3007" t="str">
        <f t="shared" ref="L46:L57" si="7">$L$44</f>
        <v>4层</v>
      </c>
      <c r="N46">
        <f t="shared" ca="1" si="0"/>
        <v>490315</v>
      </c>
    </row>
    <row r="47" spans="1:14" ht="24">
      <c r="A47" s="3015">
        <v>44</v>
      </c>
      <c r="B47" s="3015" t="s">
        <v>3124</v>
      </c>
      <c r="C47" s="3004" t="s">
        <v>4017</v>
      </c>
      <c r="D47" s="3007" t="s">
        <v>4026</v>
      </c>
      <c r="E47" s="3008" t="s">
        <v>4027</v>
      </c>
      <c r="F47" s="3019">
        <v>52.89</v>
      </c>
      <c r="G47" s="3019">
        <v>6.7</v>
      </c>
      <c r="H47" s="3016" t="s">
        <v>1373</v>
      </c>
      <c r="I47" s="3015" t="str">
        <f t="shared" si="1"/>
        <v>旅游用地</v>
      </c>
      <c r="J47" s="3010">
        <f t="shared" si="2"/>
        <v>56156</v>
      </c>
      <c r="K47" s="3007" t="str">
        <f t="shared" si="3"/>
        <v xml:space="preserve">10层 </v>
      </c>
      <c r="L47" s="3007" t="str">
        <f t="shared" si="7"/>
        <v>4层</v>
      </c>
      <c r="N47">
        <f t="shared" ca="1" si="0"/>
        <v>493675</v>
      </c>
    </row>
    <row r="48" spans="1:14" ht="24">
      <c r="A48" s="3015">
        <v>45</v>
      </c>
      <c r="B48" s="3015" t="s">
        <v>3125</v>
      </c>
      <c r="C48" s="3004" t="s">
        <v>4028</v>
      </c>
      <c r="D48" s="3007" t="s">
        <v>4029</v>
      </c>
      <c r="E48" s="3008" t="s">
        <v>4030</v>
      </c>
      <c r="F48" s="3019">
        <v>65.41</v>
      </c>
      <c r="G48" s="3019">
        <v>8.2799999999999994</v>
      </c>
      <c r="H48" s="3016" t="s">
        <v>1373</v>
      </c>
      <c r="I48" s="3015" t="str">
        <f t="shared" si="1"/>
        <v>旅游用地</v>
      </c>
      <c r="J48" s="3010">
        <f t="shared" si="2"/>
        <v>56156</v>
      </c>
      <c r="K48" s="3007" t="str">
        <f t="shared" si="3"/>
        <v xml:space="preserve">10层 </v>
      </c>
      <c r="L48" s="3007" t="str">
        <f t="shared" si="7"/>
        <v>4层</v>
      </c>
      <c r="N48">
        <f t="shared" ca="1" si="0"/>
        <v>610537</v>
      </c>
    </row>
    <row r="49" spans="1:14" ht="24">
      <c r="A49" s="3015">
        <v>46</v>
      </c>
      <c r="B49" s="3015" t="s">
        <v>3126</v>
      </c>
      <c r="C49" s="3004" t="s">
        <v>3993</v>
      </c>
      <c r="D49" s="3007" t="s">
        <v>4031</v>
      </c>
      <c r="E49" s="3008" t="s">
        <v>4032</v>
      </c>
      <c r="F49" s="3019">
        <v>55.76</v>
      </c>
      <c r="G49" s="3019">
        <v>7.06</v>
      </c>
      <c r="H49" s="3016" t="s">
        <v>1373</v>
      </c>
      <c r="I49" s="3015" t="str">
        <f t="shared" si="1"/>
        <v>旅游用地</v>
      </c>
      <c r="J49" s="3010">
        <f t="shared" si="2"/>
        <v>56156</v>
      </c>
      <c r="K49" s="3007" t="str">
        <f t="shared" si="3"/>
        <v xml:space="preserve">10层 </v>
      </c>
      <c r="L49" s="3007" t="str">
        <f t="shared" si="7"/>
        <v>4层</v>
      </c>
      <c r="N49">
        <f t="shared" ca="1" si="0"/>
        <v>520464</v>
      </c>
    </row>
    <row r="50" spans="1:14" ht="24">
      <c r="A50" s="3015">
        <v>47</v>
      </c>
      <c r="B50" s="3015" t="s">
        <v>3127</v>
      </c>
      <c r="C50" s="3004" t="s">
        <v>4033</v>
      </c>
      <c r="D50" s="3007" t="s">
        <v>4034</v>
      </c>
      <c r="E50" s="3008" t="s">
        <v>4035</v>
      </c>
      <c r="F50" s="3019">
        <v>94.3</v>
      </c>
      <c r="G50" s="3019">
        <v>11.94</v>
      </c>
      <c r="H50" s="3016" t="s">
        <v>1373</v>
      </c>
      <c r="I50" s="3015" t="str">
        <f t="shared" si="1"/>
        <v>旅游用地</v>
      </c>
      <c r="J50" s="3010">
        <f t="shared" si="2"/>
        <v>56156</v>
      </c>
      <c r="K50" s="3007" t="str">
        <f t="shared" si="3"/>
        <v xml:space="preserve">10层 </v>
      </c>
      <c r="L50" s="3007" t="str">
        <f t="shared" si="7"/>
        <v>4层</v>
      </c>
      <c r="N50">
        <f t="shared" ca="1" si="0"/>
        <v>880196</v>
      </c>
    </row>
    <row r="51" spans="1:14" ht="24">
      <c r="A51" s="3015">
        <v>48</v>
      </c>
      <c r="B51" s="3015" t="s">
        <v>3128</v>
      </c>
      <c r="C51" s="3004" t="s">
        <v>4012</v>
      </c>
      <c r="D51" s="3007" t="s">
        <v>4036</v>
      </c>
      <c r="E51" s="3008" t="s">
        <v>4037</v>
      </c>
      <c r="F51" s="3019">
        <v>94.3</v>
      </c>
      <c r="G51" s="3019">
        <v>11.94</v>
      </c>
      <c r="H51" s="3016" t="s">
        <v>1373</v>
      </c>
      <c r="I51" s="3015" t="str">
        <f t="shared" si="1"/>
        <v>旅游用地</v>
      </c>
      <c r="J51" s="3010">
        <f t="shared" si="2"/>
        <v>56156</v>
      </c>
      <c r="K51" s="3007" t="str">
        <f t="shared" si="3"/>
        <v xml:space="preserve">10层 </v>
      </c>
      <c r="L51" s="3007" t="str">
        <f t="shared" si="7"/>
        <v>4层</v>
      </c>
      <c r="N51">
        <f t="shared" ca="1" si="0"/>
        <v>880196</v>
      </c>
    </row>
    <row r="52" spans="1:14" ht="24">
      <c r="A52" s="3015">
        <v>49</v>
      </c>
      <c r="B52" s="3015" t="s">
        <v>3129</v>
      </c>
      <c r="C52" s="3004" t="s">
        <v>4002</v>
      </c>
      <c r="D52" s="3007" t="s">
        <v>4038</v>
      </c>
      <c r="E52" s="3008" t="s">
        <v>4039</v>
      </c>
      <c r="F52" s="3019">
        <v>55.76</v>
      </c>
      <c r="G52" s="3019">
        <v>7.06</v>
      </c>
      <c r="H52" s="3016" t="s">
        <v>1373</v>
      </c>
      <c r="I52" s="3015" t="str">
        <f t="shared" si="1"/>
        <v>旅游用地</v>
      </c>
      <c r="J52" s="3010">
        <f t="shared" si="2"/>
        <v>56156</v>
      </c>
      <c r="K52" s="3007" t="str">
        <f t="shared" si="3"/>
        <v xml:space="preserve">10层 </v>
      </c>
      <c r="L52" s="3007" t="str">
        <f t="shared" si="7"/>
        <v>4层</v>
      </c>
      <c r="N52">
        <f t="shared" ca="1" si="0"/>
        <v>520464</v>
      </c>
    </row>
    <row r="53" spans="1:14" ht="24">
      <c r="A53" s="3015">
        <v>50</v>
      </c>
      <c r="B53" s="3015" t="s">
        <v>3130</v>
      </c>
      <c r="C53" s="3004" t="s">
        <v>4040</v>
      </c>
      <c r="D53" s="3007" t="s">
        <v>4041</v>
      </c>
      <c r="E53" s="3008" t="s">
        <v>4042</v>
      </c>
      <c r="F53" s="3019">
        <v>65.41</v>
      </c>
      <c r="G53" s="3019">
        <v>8.2799999999999994</v>
      </c>
      <c r="H53" s="3016" t="s">
        <v>1373</v>
      </c>
      <c r="I53" s="3015" t="str">
        <f t="shared" si="1"/>
        <v>旅游用地</v>
      </c>
      <c r="J53" s="3010">
        <f t="shared" si="2"/>
        <v>56156</v>
      </c>
      <c r="K53" s="3007" t="str">
        <f t="shared" si="3"/>
        <v xml:space="preserve">10层 </v>
      </c>
      <c r="L53" s="3007" t="str">
        <f t="shared" si="7"/>
        <v>4层</v>
      </c>
      <c r="N53">
        <f t="shared" ca="1" si="0"/>
        <v>610537</v>
      </c>
    </row>
    <row r="54" spans="1:14" ht="24">
      <c r="A54" s="3015">
        <v>51</v>
      </c>
      <c r="B54" s="3015" t="s">
        <v>3131</v>
      </c>
      <c r="C54" s="3004" t="s">
        <v>4028</v>
      </c>
      <c r="D54" s="3007" t="s">
        <v>4043</v>
      </c>
      <c r="E54" s="3008" t="s">
        <v>4044</v>
      </c>
      <c r="F54" s="3019">
        <v>52.89</v>
      </c>
      <c r="G54" s="3019">
        <v>6.7</v>
      </c>
      <c r="H54" s="3016" t="s">
        <v>1373</v>
      </c>
      <c r="I54" s="3015" t="str">
        <f t="shared" si="1"/>
        <v>旅游用地</v>
      </c>
      <c r="J54" s="3010">
        <f t="shared" si="2"/>
        <v>56156</v>
      </c>
      <c r="K54" s="3007" t="str">
        <f t="shared" si="3"/>
        <v xml:space="preserve">10层 </v>
      </c>
      <c r="L54" s="3007" t="str">
        <f t="shared" si="7"/>
        <v>4层</v>
      </c>
      <c r="N54">
        <f t="shared" ca="1" si="0"/>
        <v>493675</v>
      </c>
    </row>
    <row r="55" spans="1:14" ht="24">
      <c r="A55" s="3015">
        <v>52</v>
      </c>
      <c r="B55" s="3015" t="s">
        <v>3132</v>
      </c>
      <c r="C55" s="3004" t="s">
        <v>4002</v>
      </c>
      <c r="D55" s="3007" t="s">
        <v>4045</v>
      </c>
      <c r="E55" s="3008" t="s">
        <v>4046</v>
      </c>
      <c r="F55" s="3019">
        <v>52.53</v>
      </c>
      <c r="G55" s="3019">
        <v>6.65</v>
      </c>
      <c r="H55" s="3016" t="s">
        <v>1373</v>
      </c>
      <c r="I55" s="3015" t="str">
        <f t="shared" si="1"/>
        <v>旅游用地</v>
      </c>
      <c r="J55" s="3010">
        <f t="shared" si="2"/>
        <v>56156</v>
      </c>
      <c r="K55" s="3007" t="str">
        <f t="shared" si="3"/>
        <v xml:space="preserve">10层 </v>
      </c>
      <c r="L55" s="3007" t="str">
        <f t="shared" si="7"/>
        <v>4层</v>
      </c>
      <c r="N55">
        <f t="shared" ca="1" si="0"/>
        <v>490315</v>
      </c>
    </row>
    <row r="56" spans="1:14" ht="24">
      <c r="A56" s="3015">
        <v>53</v>
      </c>
      <c r="B56" s="3015" t="s">
        <v>3133</v>
      </c>
      <c r="C56" s="3004" t="s">
        <v>4047</v>
      </c>
      <c r="D56" s="3007" t="s">
        <v>4048</v>
      </c>
      <c r="E56" s="3008" t="s">
        <v>4049</v>
      </c>
      <c r="F56" s="3019">
        <v>52.64</v>
      </c>
      <c r="G56" s="3019">
        <v>6.67</v>
      </c>
      <c r="H56" s="3016" t="s">
        <v>1373</v>
      </c>
      <c r="I56" s="3015" t="str">
        <f t="shared" si="1"/>
        <v>旅游用地</v>
      </c>
      <c r="J56" s="3010">
        <f t="shared" si="2"/>
        <v>56156</v>
      </c>
      <c r="K56" s="3007" t="str">
        <f t="shared" si="3"/>
        <v xml:space="preserve">10层 </v>
      </c>
      <c r="L56" s="3007" t="str">
        <f t="shared" si="7"/>
        <v>4层</v>
      </c>
      <c r="N56">
        <f t="shared" ca="1" si="0"/>
        <v>491342</v>
      </c>
    </row>
    <row r="57" spans="1:14" ht="24">
      <c r="A57" s="3015">
        <v>54</v>
      </c>
      <c r="B57" s="3015" t="s">
        <v>3134</v>
      </c>
      <c r="C57" s="3004" t="s">
        <v>4028</v>
      </c>
      <c r="D57" s="3007" t="s">
        <v>4050</v>
      </c>
      <c r="E57" s="3008" t="s">
        <v>4051</v>
      </c>
      <c r="F57" s="3019">
        <v>72.040000000000006</v>
      </c>
      <c r="G57" s="3019">
        <v>9.1199999999999992</v>
      </c>
      <c r="H57" s="3016" t="s">
        <v>1373</v>
      </c>
      <c r="I57" s="3015" t="str">
        <f t="shared" si="1"/>
        <v>旅游用地</v>
      </c>
      <c r="J57" s="3010">
        <f t="shared" si="2"/>
        <v>56156</v>
      </c>
      <c r="K57" s="3007" t="str">
        <f t="shared" si="3"/>
        <v xml:space="preserve">10层 </v>
      </c>
      <c r="L57" s="3007" t="str">
        <f t="shared" si="7"/>
        <v>4层</v>
      </c>
      <c r="N57">
        <f t="shared" ca="1" si="0"/>
        <v>672421</v>
      </c>
    </row>
    <row r="58" spans="1:14" ht="24">
      <c r="A58" s="3015">
        <v>55</v>
      </c>
      <c r="B58" s="3015" t="s">
        <v>3143</v>
      </c>
      <c r="C58" s="3004" t="s">
        <v>3999</v>
      </c>
      <c r="D58" s="3007" t="s">
        <v>4052</v>
      </c>
      <c r="E58" s="3008" t="s">
        <v>4053</v>
      </c>
      <c r="F58" s="3019">
        <v>68.13</v>
      </c>
      <c r="G58" s="3019">
        <v>8.6300000000000008</v>
      </c>
      <c r="H58" s="3016" t="s">
        <v>1373</v>
      </c>
      <c r="I58" s="3015" t="str">
        <f t="shared" si="1"/>
        <v>旅游用地</v>
      </c>
      <c r="J58" s="3010">
        <f t="shared" si="2"/>
        <v>56156</v>
      </c>
      <c r="K58" s="3007" t="str">
        <f t="shared" si="3"/>
        <v xml:space="preserve">10层 </v>
      </c>
      <c r="L58" s="3007" t="s">
        <v>4054</v>
      </c>
      <c r="N58">
        <f t="shared" ca="1" si="0"/>
        <v>635925</v>
      </c>
    </row>
    <row r="59" spans="1:14" ht="24">
      <c r="A59" s="3015">
        <v>56</v>
      </c>
      <c r="B59" s="3015" t="s">
        <v>3144</v>
      </c>
      <c r="C59" s="3004" t="s">
        <v>3840</v>
      </c>
      <c r="D59" s="3007" t="s">
        <v>4055</v>
      </c>
      <c r="E59" s="3008" t="s">
        <v>4056</v>
      </c>
      <c r="F59" s="3019">
        <v>52.64</v>
      </c>
      <c r="G59" s="3019">
        <v>6.67</v>
      </c>
      <c r="H59" s="3016" t="s">
        <v>1373</v>
      </c>
      <c r="I59" s="3015" t="str">
        <f t="shared" si="1"/>
        <v>旅游用地</v>
      </c>
      <c r="J59" s="3010">
        <f t="shared" si="2"/>
        <v>56156</v>
      </c>
      <c r="K59" s="3007" t="str">
        <f t="shared" si="3"/>
        <v xml:space="preserve">10层 </v>
      </c>
      <c r="L59" s="3007" t="str">
        <f>L58</f>
        <v>5层</v>
      </c>
      <c r="N59">
        <f t="shared" ca="1" si="0"/>
        <v>491342</v>
      </c>
    </row>
    <row r="60" spans="1:14" ht="24">
      <c r="A60" s="3015">
        <v>57</v>
      </c>
      <c r="B60" s="3015" t="s">
        <v>3145</v>
      </c>
      <c r="C60" s="3004" t="s">
        <v>3527</v>
      </c>
      <c r="D60" s="3007" t="s">
        <v>4057</v>
      </c>
      <c r="E60" s="3008" t="s">
        <v>4058</v>
      </c>
      <c r="F60" s="3019">
        <v>52.53</v>
      </c>
      <c r="G60" s="3019">
        <v>6.65</v>
      </c>
      <c r="H60" s="3016" t="s">
        <v>1373</v>
      </c>
      <c r="I60" s="3015" t="str">
        <f t="shared" si="1"/>
        <v>旅游用地</v>
      </c>
      <c r="J60" s="3010">
        <f t="shared" si="2"/>
        <v>56156</v>
      </c>
      <c r="K60" s="3007" t="str">
        <f t="shared" si="3"/>
        <v xml:space="preserve">10层 </v>
      </c>
      <c r="L60" s="3007" t="str">
        <f t="shared" si="3"/>
        <v>5层</v>
      </c>
      <c r="N60">
        <f t="shared" ca="1" si="0"/>
        <v>490315</v>
      </c>
    </row>
    <row r="61" spans="1:14" ht="24">
      <c r="A61" s="3015">
        <v>58</v>
      </c>
      <c r="B61" s="3015" t="s">
        <v>3146</v>
      </c>
      <c r="C61" s="3004" t="s">
        <v>3840</v>
      </c>
      <c r="D61" s="3007" t="s">
        <v>4059</v>
      </c>
      <c r="E61" s="3008" t="s">
        <v>4060</v>
      </c>
      <c r="F61" s="3019">
        <v>52.89</v>
      </c>
      <c r="G61" s="3019">
        <v>6.7</v>
      </c>
      <c r="H61" s="3016" t="s">
        <v>1373</v>
      </c>
      <c r="I61" s="3015" t="str">
        <f t="shared" si="1"/>
        <v>旅游用地</v>
      </c>
      <c r="J61" s="3010">
        <f t="shared" si="2"/>
        <v>56156</v>
      </c>
      <c r="K61" s="3007" t="str">
        <f t="shared" ref="K61:L76" si="8">K60</f>
        <v xml:space="preserve">10层 </v>
      </c>
      <c r="L61" s="3007" t="str">
        <f t="shared" si="8"/>
        <v>5层</v>
      </c>
      <c r="N61">
        <f t="shared" ca="1" si="0"/>
        <v>493675</v>
      </c>
    </row>
    <row r="62" spans="1:14" ht="24">
      <c r="A62" s="3015">
        <v>59</v>
      </c>
      <c r="B62" s="3015" t="s">
        <v>3147</v>
      </c>
      <c r="C62" s="3004" t="s">
        <v>3527</v>
      </c>
      <c r="D62" s="3007" t="s">
        <v>4061</v>
      </c>
      <c r="E62" s="3008" t="s">
        <v>4062</v>
      </c>
      <c r="F62" s="3019">
        <v>65.41</v>
      </c>
      <c r="G62" s="3019">
        <v>8.2799999999999994</v>
      </c>
      <c r="H62" s="3016" t="s">
        <v>1373</v>
      </c>
      <c r="I62" s="3015" t="str">
        <f t="shared" si="1"/>
        <v>旅游用地</v>
      </c>
      <c r="J62" s="3010">
        <f t="shared" si="2"/>
        <v>56156</v>
      </c>
      <c r="K62" s="3007" t="str">
        <f t="shared" si="8"/>
        <v xml:space="preserve">10层 </v>
      </c>
      <c r="L62" s="3007" t="str">
        <f t="shared" si="8"/>
        <v>5层</v>
      </c>
      <c r="N62">
        <f t="shared" ca="1" si="0"/>
        <v>610537</v>
      </c>
    </row>
    <row r="63" spans="1:14" ht="24">
      <c r="A63" s="3015">
        <v>60</v>
      </c>
      <c r="B63" s="3015" t="s">
        <v>3148</v>
      </c>
      <c r="C63" s="3004" t="s">
        <v>3527</v>
      </c>
      <c r="D63" s="3007" t="s">
        <v>4063</v>
      </c>
      <c r="E63" s="3008" t="s">
        <v>4064</v>
      </c>
      <c r="F63" s="3019">
        <v>55.76</v>
      </c>
      <c r="G63" s="3019">
        <v>7.06</v>
      </c>
      <c r="H63" s="3016" t="s">
        <v>1373</v>
      </c>
      <c r="I63" s="3015" t="str">
        <f t="shared" si="1"/>
        <v>旅游用地</v>
      </c>
      <c r="J63" s="3010">
        <f t="shared" si="2"/>
        <v>56156</v>
      </c>
      <c r="K63" s="3007" t="str">
        <f t="shared" si="8"/>
        <v xml:space="preserve">10层 </v>
      </c>
      <c r="L63" s="3007" t="str">
        <f t="shared" si="8"/>
        <v>5层</v>
      </c>
      <c r="N63">
        <f t="shared" ca="1" si="0"/>
        <v>520464</v>
      </c>
    </row>
    <row r="64" spans="1:14" ht="24">
      <c r="A64" s="3015">
        <v>61</v>
      </c>
      <c r="B64" s="3015" t="s">
        <v>3149</v>
      </c>
      <c r="C64" s="3004" t="s">
        <v>4065</v>
      </c>
      <c r="D64" s="3007" t="s">
        <v>4066</v>
      </c>
      <c r="E64" s="3008" t="s">
        <v>4067</v>
      </c>
      <c r="F64" s="3019">
        <v>94.3</v>
      </c>
      <c r="G64" s="3019">
        <v>11.94</v>
      </c>
      <c r="H64" s="3016" t="s">
        <v>1373</v>
      </c>
      <c r="I64" s="3015" t="str">
        <f t="shared" si="1"/>
        <v>旅游用地</v>
      </c>
      <c r="J64" s="3010">
        <f t="shared" si="2"/>
        <v>56156</v>
      </c>
      <c r="K64" s="3007" t="str">
        <f t="shared" si="8"/>
        <v xml:space="preserve">10层 </v>
      </c>
      <c r="L64" s="3007" t="str">
        <f t="shared" si="8"/>
        <v>5层</v>
      </c>
      <c r="N64">
        <f t="shared" ca="1" si="0"/>
        <v>880196</v>
      </c>
    </row>
    <row r="65" spans="1:14" ht="24">
      <c r="A65" s="3015">
        <v>62</v>
      </c>
      <c r="B65" s="3015" t="s">
        <v>3150</v>
      </c>
      <c r="C65" s="3004" t="s">
        <v>3840</v>
      </c>
      <c r="D65" s="3007" t="s">
        <v>4068</v>
      </c>
      <c r="E65" s="3008" t="s">
        <v>4069</v>
      </c>
      <c r="F65" s="3019">
        <v>94.3</v>
      </c>
      <c r="G65" s="3019">
        <v>11.94</v>
      </c>
      <c r="H65" s="3016" t="s">
        <v>1373</v>
      </c>
      <c r="I65" s="3015" t="str">
        <f t="shared" si="1"/>
        <v>旅游用地</v>
      </c>
      <c r="J65" s="3010">
        <f t="shared" si="2"/>
        <v>56156</v>
      </c>
      <c r="K65" s="3007" t="str">
        <f t="shared" si="8"/>
        <v xml:space="preserve">10层 </v>
      </c>
      <c r="L65" s="3007" t="str">
        <f t="shared" si="8"/>
        <v>5层</v>
      </c>
      <c r="N65">
        <f t="shared" ca="1" si="0"/>
        <v>880196</v>
      </c>
    </row>
    <row r="66" spans="1:14" ht="24">
      <c r="A66" s="3015">
        <v>63</v>
      </c>
      <c r="B66" s="3015" t="s">
        <v>3151</v>
      </c>
      <c r="C66" s="3004" t="s">
        <v>4070</v>
      </c>
      <c r="D66" s="3007" t="s">
        <v>4071</v>
      </c>
      <c r="E66" s="3008" t="s">
        <v>4072</v>
      </c>
      <c r="F66" s="3019">
        <v>55.76</v>
      </c>
      <c r="G66" s="3019">
        <v>7.06</v>
      </c>
      <c r="H66" s="3016" t="s">
        <v>1373</v>
      </c>
      <c r="I66" s="3015" t="str">
        <f t="shared" si="1"/>
        <v>旅游用地</v>
      </c>
      <c r="J66" s="3010">
        <f t="shared" si="2"/>
        <v>56156</v>
      </c>
      <c r="K66" s="3007" t="str">
        <f t="shared" si="8"/>
        <v xml:space="preserve">10层 </v>
      </c>
      <c r="L66" s="3007" t="str">
        <f t="shared" si="8"/>
        <v>5层</v>
      </c>
      <c r="N66">
        <f t="shared" ca="1" si="0"/>
        <v>520464</v>
      </c>
    </row>
    <row r="67" spans="1:14" ht="24">
      <c r="A67" s="3015">
        <v>64</v>
      </c>
      <c r="B67" s="3015" t="s">
        <v>3152</v>
      </c>
      <c r="C67" s="3004" t="s">
        <v>4073</v>
      </c>
      <c r="D67" s="3007" t="s">
        <v>4074</v>
      </c>
      <c r="E67" s="3008" t="s">
        <v>4075</v>
      </c>
      <c r="F67" s="3019">
        <v>65.41</v>
      </c>
      <c r="G67" s="3019">
        <v>8.2799999999999994</v>
      </c>
      <c r="H67" s="3016" t="s">
        <v>1373</v>
      </c>
      <c r="I67" s="3015" t="str">
        <f t="shared" si="1"/>
        <v>旅游用地</v>
      </c>
      <c r="J67" s="3010">
        <f t="shared" si="2"/>
        <v>56156</v>
      </c>
      <c r="K67" s="3007" t="str">
        <f t="shared" si="8"/>
        <v xml:space="preserve">10层 </v>
      </c>
      <c r="L67" s="3007" t="str">
        <f t="shared" si="8"/>
        <v>5层</v>
      </c>
      <c r="N67">
        <f t="shared" ca="1" si="0"/>
        <v>610537</v>
      </c>
    </row>
    <row r="68" spans="1:14" ht="24">
      <c r="A68" s="3015">
        <v>65</v>
      </c>
      <c r="B68" s="3015" t="s">
        <v>3153</v>
      </c>
      <c r="C68" s="3004" t="s">
        <v>3993</v>
      </c>
      <c r="D68" s="3007" t="s">
        <v>4076</v>
      </c>
      <c r="E68" s="3008" t="s">
        <v>4077</v>
      </c>
      <c r="F68" s="3019">
        <v>52.89</v>
      </c>
      <c r="G68" s="3019">
        <v>6.7</v>
      </c>
      <c r="H68" s="3016" t="s">
        <v>1373</v>
      </c>
      <c r="I68" s="3015" t="str">
        <f t="shared" si="1"/>
        <v>旅游用地</v>
      </c>
      <c r="J68" s="3010">
        <f t="shared" si="2"/>
        <v>56156</v>
      </c>
      <c r="K68" s="3007" t="str">
        <f t="shared" si="8"/>
        <v xml:space="preserve">10层 </v>
      </c>
      <c r="L68" s="3007" t="str">
        <f t="shared" si="8"/>
        <v>5层</v>
      </c>
      <c r="N68">
        <f t="shared" ca="1" si="0"/>
        <v>493675</v>
      </c>
    </row>
    <row r="69" spans="1:14" ht="24">
      <c r="A69" s="3015">
        <v>66</v>
      </c>
      <c r="B69" s="3015" t="s">
        <v>3154</v>
      </c>
      <c r="C69" s="3004" t="s">
        <v>3993</v>
      </c>
      <c r="D69" s="3007" t="s">
        <v>4078</v>
      </c>
      <c r="E69" s="3008" t="s">
        <v>4079</v>
      </c>
      <c r="F69" s="3019">
        <v>52.53</v>
      </c>
      <c r="G69" s="3019">
        <v>6.65</v>
      </c>
      <c r="H69" s="3016" t="s">
        <v>1373</v>
      </c>
      <c r="I69" s="3015" t="str">
        <f t="shared" si="1"/>
        <v>旅游用地</v>
      </c>
      <c r="J69" s="3010">
        <f t="shared" si="2"/>
        <v>56156</v>
      </c>
      <c r="K69" s="3007" t="str">
        <f t="shared" si="8"/>
        <v xml:space="preserve">10层 </v>
      </c>
      <c r="L69" s="3007" t="str">
        <f t="shared" si="8"/>
        <v>5层</v>
      </c>
      <c r="N69">
        <f t="shared" ref="N69:N122" ca="1" si="9">ROUND(F69*$M$4,0)</f>
        <v>490315</v>
      </c>
    </row>
    <row r="70" spans="1:14" ht="24">
      <c r="A70" s="3015">
        <v>67</v>
      </c>
      <c r="B70" s="3015" t="s">
        <v>3155</v>
      </c>
      <c r="C70" s="3004" t="s">
        <v>3934</v>
      </c>
      <c r="D70" s="3007" t="s">
        <v>4080</v>
      </c>
      <c r="E70" s="3008" t="s">
        <v>4081</v>
      </c>
      <c r="F70" s="3019">
        <v>52.64</v>
      </c>
      <c r="G70" s="3019">
        <v>6.67</v>
      </c>
      <c r="H70" s="3016" t="s">
        <v>1373</v>
      </c>
      <c r="I70" s="3015" t="str">
        <f t="shared" ref="I70:I122" si="10">I69</f>
        <v>旅游用地</v>
      </c>
      <c r="J70" s="3010">
        <f t="shared" ref="J70:J122" si="11">$J$4</f>
        <v>56156</v>
      </c>
      <c r="K70" s="3007" t="str">
        <f t="shared" si="8"/>
        <v xml:space="preserve">10层 </v>
      </c>
      <c r="L70" s="3007" t="str">
        <f t="shared" si="8"/>
        <v>5层</v>
      </c>
      <c r="N70">
        <f t="shared" ca="1" si="9"/>
        <v>491342</v>
      </c>
    </row>
    <row r="71" spans="1:14" ht="24">
      <c r="A71" s="3015">
        <v>68</v>
      </c>
      <c r="B71" s="3015" t="s">
        <v>3156</v>
      </c>
      <c r="C71" s="3004" t="s">
        <v>3431</v>
      </c>
      <c r="D71" s="3007" t="s">
        <v>4082</v>
      </c>
      <c r="E71" s="3008" t="s">
        <v>4083</v>
      </c>
      <c r="F71" s="3019">
        <v>72.040000000000006</v>
      </c>
      <c r="G71" s="3019">
        <v>9.1199999999999992</v>
      </c>
      <c r="H71" s="3016" t="s">
        <v>1373</v>
      </c>
      <c r="I71" s="3015" t="str">
        <f t="shared" si="10"/>
        <v>旅游用地</v>
      </c>
      <c r="J71" s="3010">
        <f t="shared" si="11"/>
        <v>56156</v>
      </c>
      <c r="K71" s="3007" t="str">
        <f t="shared" si="8"/>
        <v xml:space="preserve">10层 </v>
      </c>
      <c r="L71" s="3007" t="str">
        <f t="shared" si="8"/>
        <v>5层</v>
      </c>
      <c r="N71">
        <f t="shared" ca="1" si="9"/>
        <v>672421</v>
      </c>
    </row>
    <row r="72" spans="1:14" ht="24">
      <c r="A72" s="3015">
        <v>69</v>
      </c>
      <c r="B72" s="3015" t="s">
        <v>3164</v>
      </c>
      <c r="C72" s="3004" t="s">
        <v>3431</v>
      </c>
      <c r="D72" s="3007" t="s">
        <v>4084</v>
      </c>
      <c r="E72" s="3008" t="s">
        <v>4085</v>
      </c>
      <c r="F72" s="3019">
        <v>68.13</v>
      </c>
      <c r="G72" s="3019">
        <v>8.6300000000000008</v>
      </c>
      <c r="H72" s="3016" t="s">
        <v>1373</v>
      </c>
      <c r="I72" s="3015" t="str">
        <f t="shared" si="10"/>
        <v>旅游用地</v>
      </c>
      <c r="J72" s="3010">
        <f t="shared" si="11"/>
        <v>56156</v>
      </c>
      <c r="K72" s="3007" t="str">
        <f t="shared" si="8"/>
        <v xml:space="preserve">10层 </v>
      </c>
      <c r="L72" s="3007" t="s">
        <v>4086</v>
      </c>
      <c r="N72">
        <f t="shared" ca="1" si="9"/>
        <v>635925</v>
      </c>
    </row>
    <row r="73" spans="1:14" ht="24">
      <c r="A73" s="3015">
        <v>70</v>
      </c>
      <c r="B73" s="3015" t="s">
        <v>3165</v>
      </c>
      <c r="C73" s="3004" t="s">
        <v>3431</v>
      </c>
      <c r="D73" s="3007" t="s">
        <v>4087</v>
      </c>
      <c r="E73" s="3008" t="s">
        <v>4088</v>
      </c>
      <c r="F73" s="3019">
        <v>52.64</v>
      </c>
      <c r="G73" s="3019">
        <v>6.67</v>
      </c>
      <c r="H73" s="3016" t="s">
        <v>1373</v>
      </c>
      <c r="I73" s="3015" t="str">
        <f t="shared" si="10"/>
        <v>旅游用地</v>
      </c>
      <c r="J73" s="3010">
        <f t="shared" si="11"/>
        <v>56156</v>
      </c>
      <c r="K73" s="3007" t="str">
        <f t="shared" si="8"/>
        <v xml:space="preserve">10层 </v>
      </c>
      <c r="L73" s="3007" t="str">
        <f>L72</f>
        <v>6层</v>
      </c>
      <c r="N73">
        <f t="shared" ca="1" si="9"/>
        <v>491342</v>
      </c>
    </row>
    <row r="74" spans="1:14" ht="24">
      <c r="A74" s="3015">
        <v>71</v>
      </c>
      <c r="B74" s="3015" t="s">
        <v>3166</v>
      </c>
      <c r="C74" s="3004" t="s">
        <v>3431</v>
      </c>
      <c r="D74" s="3007" t="s">
        <v>4089</v>
      </c>
      <c r="E74" s="3008" t="s">
        <v>4090</v>
      </c>
      <c r="F74" s="3019">
        <v>52.53</v>
      </c>
      <c r="G74" s="3019">
        <v>6.65</v>
      </c>
      <c r="H74" s="3016" t="s">
        <v>1373</v>
      </c>
      <c r="I74" s="3015" t="str">
        <f t="shared" si="10"/>
        <v>旅游用地</v>
      </c>
      <c r="J74" s="3010">
        <f t="shared" si="11"/>
        <v>56156</v>
      </c>
      <c r="K74" s="3007" t="str">
        <f t="shared" si="8"/>
        <v xml:space="preserve">10层 </v>
      </c>
      <c r="L74" s="3007" t="str">
        <f t="shared" si="8"/>
        <v>6层</v>
      </c>
      <c r="N74">
        <f t="shared" ca="1" si="9"/>
        <v>490315</v>
      </c>
    </row>
    <row r="75" spans="1:14" ht="24">
      <c r="A75" s="3015">
        <v>72</v>
      </c>
      <c r="B75" s="3015" t="s">
        <v>3167</v>
      </c>
      <c r="C75" s="3004" t="s">
        <v>3431</v>
      </c>
      <c r="D75" s="3007" t="s">
        <v>4091</v>
      </c>
      <c r="E75" s="3008" t="s">
        <v>4092</v>
      </c>
      <c r="F75" s="3019">
        <v>52.89</v>
      </c>
      <c r="G75" s="3019">
        <v>6.7</v>
      </c>
      <c r="H75" s="3016" t="s">
        <v>1373</v>
      </c>
      <c r="I75" s="3015" t="str">
        <f t="shared" si="10"/>
        <v>旅游用地</v>
      </c>
      <c r="J75" s="3010">
        <f t="shared" si="11"/>
        <v>56156</v>
      </c>
      <c r="K75" s="3007" t="str">
        <f t="shared" si="8"/>
        <v xml:space="preserve">10层 </v>
      </c>
      <c r="L75" s="3007" t="str">
        <f t="shared" si="8"/>
        <v>6层</v>
      </c>
      <c r="N75">
        <f t="shared" ca="1" si="9"/>
        <v>493675</v>
      </c>
    </row>
    <row r="76" spans="1:14" ht="24">
      <c r="A76" s="3015">
        <v>73</v>
      </c>
      <c r="B76" s="3015" t="s">
        <v>3168</v>
      </c>
      <c r="C76" s="3004" t="s">
        <v>3431</v>
      </c>
      <c r="D76" s="3007" t="s">
        <v>4093</v>
      </c>
      <c r="E76" s="3008" t="s">
        <v>4094</v>
      </c>
      <c r="F76" s="3019">
        <v>65.41</v>
      </c>
      <c r="G76" s="3019">
        <v>8.2799999999999994</v>
      </c>
      <c r="H76" s="3016" t="s">
        <v>1373</v>
      </c>
      <c r="I76" s="3015" t="str">
        <f t="shared" si="10"/>
        <v>旅游用地</v>
      </c>
      <c r="J76" s="3010">
        <f t="shared" si="11"/>
        <v>56156</v>
      </c>
      <c r="K76" s="3007" t="str">
        <f t="shared" si="8"/>
        <v xml:space="preserve">10层 </v>
      </c>
      <c r="L76" s="3007" t="str">
        <f t="shared" si="8"/>
        <v>6层</v>
      </c>
      <c r="N76">
        <f t="shared" ca="1" si="9"/>
        <v>610537</v>
      </c>
    </row>
    <row r="77" spans="1:14" ht="24">
      <c r="A77" s="3015">
        <v>74</v>
      </c>
      <c r="B77" s="3015" t="s">
        <v>3169</v>
      </c>
      <c r="C77" s="3004" t="s">
        <v>3431</v>
      </c>
      <c r="D77" s="3007" t="s">
        <v>4095</v>
      </c>
      <c r="E77" s="3008" t="s">
        <v>4096</v>
      </c>
      <c r="F77" s="3019">
        <v>55.76</v>
      </c>
      <c r="G77" s="3019">
        <v>7.06</v>
      </c>
      <c r="H77" s="3016" t="s">
        <v>1373</v>
      </c>
      <c r="I77" s="3015" t="str">
        <f t="shared" si="10"/>
        <v>旅游用地</v>
      </c>
      <c r="J77" s="3010">
        <f t="shared" si="11"/>
        <v>56156</v>
      </c>
      <c r="K77" s="3007" t="str">
        <f t="shared" ref="K77:L92" si="12">K76</f>
        <v xml:space="preserve">10层 </v>
      </c>
      <c r="L77" s="3007" t="str">
        <f t="shared" si="12"/>
        <v>6层</v>
      </c>
      <c r="N77">
        <f t="shared" ca="1" si="9"/>
        <v>520464</v>
      </c>
    </row>
    <row r="78" spans="1:14" ht="24">
      <c r="A78" s="3015">
        <v>75</v>
      </c>
      <c r="B78" s="3015" t="s">
        <v>3170</v>
      </c>
      <c r="C78" s="3004" t="s">
        <v>3527</v>
      </c>
      <c r="D78" s="3007" t="s">
        <v>4097</v>
      </c>
      <c r="E78" s="3008" t="s">
        <v>4098</v>
      </c>
      <c r="F78" s="3019">
        <v>94.3</v>
      </c>
      <c r="G78" s="3019">
        <v>11.94</v>
      </c>
      <c r="H78" s="3016" t="s">
        <v>1373</v>
      </c>
      <c r="I78" s="3015" t="str">
        <f t="shared" si="10"/>
        <v>旅游用地</v>
      </c>
      <c r="J78" s="3010">
        <f t="shared" si="11"/>
        <v>56156</v>
      </c>
      <c r="K78" s="3007" t="str">
        <f t="shared" si="12"/>
        <v xml:space="preserve">10层 </v>
      </c>
      <c r="L78" s="3007" t="str">
        <f t="shared" si="12"/>
        <v>6层</v>
      </c>
      <c r="N78">
        <f t="shared" ca="1" si="9"/>
        <v>880196</v>
      </c>
    </row>
    <row r="79" spans="1:14" ht="24">
      <c r="A79" s="3015">
        <v>76</v>
      </c>
      <c r="B79" s="3015" t="s">
        <v>3171</v>
      </c>
      <c r="C79" s="3004" t="s">
        <v>3527</v>
      </c>
      <c r="D79" s="3007" t="s">
        <v>4099</v>
      </c>
      <c r="E79" s="3008" t="s">
        <v>4100</v>
      </c>
      <c r="F79" s="3019">
        <v>94.3</v>
      </c>
      <c r="G79" s="3019">
        <v>11.94</v>
      </c>
      <c r="H79" s="3016" t="s">
        <v>1373</v>
      </c>
      <c r="I79" s="3015" t="str">
        <f t="shared" si="10"/>
        <v>旅游用地</v>
      </c>
      <c r="J79" s="3010">
        <f t="shared" si="11"/>
        <v>56156</v>
      </c>
      <c r="K79" s="3007" t="str">
        <f t="shared" si="12"/>
        <v xml:space="preserve">10层 </v>
      </c>
      <c r="L79" s="3007" t="str">
        <f t="shared" si="12"/>
        <v>6层</v>
      </c>
      <c r="N79">
        <f t="shared" ca="1" si="9"/>
        <v>880196</v>
      </c>
    </row>
    <row r="80" spans="1:14" ht="24">
      <c r="A80" s="3015">
        <v>77</v>
      </c>
      <c r="B80" s="3015" t="s">
        <v>3172</v>
      </c>
      <c r="C80" s="3004" t="s">
        <v>3840</v>
      </c>
      <c r="D80" s="3007" t="s">
        <v>4101</v>
      </c>
      <c r="E80" s="3008" t="s">
        <v>4102</v>
      </c>
      <c r="F80" s="3019">
        <v>55.76</v>
      </c>
      <c r="G80" s="3019">
        <v>7.06</v>
      </c>
      <c r="H80" s="3016" t="s">
        <v>1373</v>
      </c>
      <c r="I80" s="3015" t="str">
        <f t="shared" si="10"/>
        <v>旅游用地</v>
      </c>
      <c r="J80" s="3010">
        <f t="shared" si="11"/>
        <v>56156</v>
      </c>
      <c r="K80" s="3007" t="str">
        <f t="shared" si="12"/>
        <v xml:space="preserve">10层 </v>
      </c>
      <c r="L80" s="3007" t="str">
        <f t="shared" si="12"/>
        <v>6层</v>
      </c>
      <c r="N80">
        <f t="shared" ca="1" si="9"/>
        <v>520464</v>
      </c>
    </row>
    <row r="81" spans="1:14" ht="24">
      <c r="A81" s="3015">
        <v>78</v>
      </c>
      <c r="B81" s="3015" t="s">
        <v>3173</v>
      </c>
      <c r="C81" s="3004" t="s">
        <v>3527</v>
      </c>
      <c r="D81" s="3007" t="s">
        <v>4103</v>
      </c>
      <c r="E81" s="3008" t="s">
        <v>4104</v>
      </c>
      <c r="F81" s="3019">
        <v>65.41</v>
      </c>
      <c r="G81" s="3019">
        <v>8.2799999999999994</v>
      </c>
      <c r="H81" s="3016" t="s">
        <v>1373</v>
      </c>
      <c r="I81" s="3015" t="str">
        <f t="shared" si="10"/>
        <v>旅游用地</v>
      </c>
      <c r="J81" s="3010">
        <f t="shared" si="11"/>
        <v>56156</v>
      </c>
      <c r="K81" s="3007" t="str">
        <f t="shared" si="12"/>
        <v xml:space="preserve">10层 </v>
      </c>
      <c r="L81" s="3007" t="str">
        <f t="shared" si="12"/>
        <v>6层</v>
      </c>
      <c r="N81">
        <f t="shared" ca="1" si="9"/>
        <v>610537</v>
      </c>
    </row>
    <row r="82" spans="1:14" ht="24">
      <c r="A82" s="3015">
        <v>79</v>
      </c>
      <c r="B82" s="3015" t="s">
        <v>3174</v>
      </c>
      <c r="C82" s="3004" t="s">
        <v>3527</v>
      </c>
      <c r="D82" s="3007" t="s">
        <v>4105</v>
      </c>
      <c r="E82" s="3008" t="s">
        <v>4106</v>
      </c>
      <c r="F82" s="3019">
        <v>52.89</v>
      </c>
      <c r="G82" s="3019">
        <v>6.7</v>
      </c>
      <c r="H82" s="3016" t="s">
        <v>1373</v>
      </c>
      <c r="I82" s="3015" t="str">
        <f t="shared" si="10"/>
        <v>旅游用地</v>
      </c>
      <c r="J82" s="3010">
        <f t="shared" si="11"/>
        <v>56156</v>
      </c>
      <c r="K82" s="3007" t="str">
        <f t="shared" si="12"/>
        <v xml:space="preserve">10层 </v>
      </c>
      <c r="L82" s="3007" t="str">
        <f t="shared" si="12"/>
        <v>6层</v>
      </c>
      <c r="N82">
        <f t="shared" ca="1" si="9"/>
        <v>493675</v>
      </c>
    </row>
    <row r="83" spans="1:14" ht="24">
      <c r="A83" s="3015">
        <v>80</v>
      </c>
      <c r="B83" s="3015" t="s">
        <v>3175</v>
      </c>
      <c r="C83" s="3004" t="s">
        <v>3993</v>
      </c>
      <c r="D83" s="3007" t="s">
        <v>4107</v>
      </c>
      <c r="E83" s="3008" t="s">
        <v>4108</v>
      </c>
      <c r="F83" s="3019">
        <v>52.53</v>
      </c>
      <c r="G83" s="3019">
        <v>6.65</v>
      </c>
      <c r="H83" s="3016" t="s">
        <v>1373</v>
      </c>
      <c r="I83" s="3015" t="str">
        <f t="shared" si="10"/>
        <v>旅游用地</v>
      </c>
      <c r="J83" s="3010">
        <f t="shared" si="11"/>
        <v>56156</v>
      </c>
      <c r="K83" s="3007" t="str">
        <f t="shared" si="12"/>
        <v xml:space="preserve">10层 </v>
      </c>
      <c r="L83" s="3007" t="str">
        <f t="shared" si="12"/>
        <v>6层</v>
      </c>
      <c r="N83">
        <f t="shared" ca="1" si="9"/>
        <v>490315</v>
      </c>
    </row>
    <row r="84" spans="1:14" ht="24">
      <c r="A84" s="3015">
        <v>81</v>
      </c>
      <c r="B84" s="3015" t="s">
        <v>3176</v>
      </c>
      <c r="C84" s="3004" t="s">
        <v>3993</v>
      </c>
      <c r="D84" s="3007" t="s">
        <v>4109</v>
      </c>
      <c r="E84" s="3008" t="s">
        <v>4110</v>
      </c>
      <c r="F84" s="3019">
        <v>52.64</v>
      </c>
      <c r="G84" s="3019">
        <v>6.67</v>
      </c>
      <c r="H84" s="3016" t="s">
        <v>1373</v>
      </c>
      <c r="I84" s="3015" t="str">
        <f t="shared" si="10"/>
        <v>旅游用地</v>
      </c>
      <c r="J84" s="3010">
        <f t="shared" si="11"/>
        <v>56156</v>
      </c>
      <c r="K84" s="3007" t="str">
        <f t="shared" si="12"/>
        <v xml:space="preserve">10层 </v>
      </c>
      <c r="L84" s="3007" t="str">
        <f t="shared" si="12"/>
        <v>6层</v>
      </c>
      <c r="N84">
        <f t="shared" ca="1" si="9"/>
        <v>491342</v>
      </c>
    </row>
    <row r="85" spans="1:14" ht="24">
      <c r="A85" s="3015">
        <v>82</v>
      </c>
      <c r="B85" s="3015" t="s">
        <v>3177</v>
      </c>
      <c r="C85" s="3004" t="s">
        <v>3527</v>
      </c>
      <c r="D85" s="3007" t="s">
        <v>4111</v>
      </c>
      <c r="E85" s="3008" t="s">
        <v>4112</v>
      </c>
      <c r="F85" s="3019">
        <v>72.040000000000006</v>
      </c>
      <c r="G85" s="3019">
        <v>9.1199999999999992</v>
      </c>
      <c r="H85" s="3016" t="s">
        <v>1373</v>
      </c>
      <c r="I85" s="3015" t="str">
        <f t="shared" si="10"/>
        <v>旅游用地</v>
      </c>
      <c r="J85" s="3010">
        <f t="shared" si="11"/>
        <v>56156</v>
      </c>
      <c r="K85" s="3007" t="str">
        <f t="shared" si="12"/>
        <v xml:space="preserve">10层 </v>
      </c>
      <c r="L85" s="3007" t="str">
        <f t="shared" si="12"/>
        <v>6层</v>
      </c>
      <c r="N85">
        <f t="shared" ca="1" si="9"/>
        <v>672421</v>
      </c>
    </row>
    <row r="86" spans="1:14" ht="24">
      <c r="A86" s="3015">
        <v>83</v>
      </c>
      <c r="B86" s="3015" t="s">
        <v>3185</v>
      </c>
      <c r="C86" s="3004" t="s">
        <v>4113</v>
      </c>
      <c r="D86" s="3007" t="s">
        <v>4114</v>
      </c>
      <c r="E86" s="3008" t="s">
        <v>4115</v>
      </c>
      <c r="F86" s="3019">
        <v>68.5</v>
      </c>
      <c r="G86" s="3019">
        <v>8.68</v>
      </c>
      <c r="H86" s="3016" t="s">
        <v>1373</v>
      </c>
      <c r="I86" s="3015" t="str">
        <f t="shared" si="10"/>
        <v>旅游用地</v>
      </c>
      <c r="J86" s="3010">
        <f t="shared" si="11"/>
        <v>56156</v>
      </c>
      <c r="K86" s="3007" t="str">
        <f t="shared" si="12"/>
        <v xml:space="preserve">10层 </v>
      </c>
      <c r="L86" s="3007" t="s">
        <v>4116</v>
      </c>
      <c r="N86">
        <f t="shared" ca="1" si="9"/>
        <v>639379</v>
      </c>
    </row>
    <row r="87" spans="1:14" ht="24">
      <c r="A87" s="3015">
        <v>84</v>
      </c>
      <c r="B87" s="3015" t="s">
        <v>3186</v>
      </c>
      <c r="C87" s="3004" t="s">
        <v>3993</v>
      </c>
      <c r="D87" s="3007" t="s">
        <v>4117</v>
      </c>
      <c r="E87" s="3008" t="s">
        <v>4118</v>
      </c>
      <c r="F87" s="3019">
        <v>52.92</v>
      </c>
      <c r="G87" s="3019">
        <v>6.7</v>
      </c>
      <c r="H87" s="3016" t="s">
        <v>1373</v>
      </c>
      <c r="I87" s="3015" t="str">
        <f t="shared" si="10"/>
        <v>旅游用地</v>
      </c>
      <c r="J87" s="3010">
        <f t="shared" si="11"/>
        <v>56156</v>
      </c>
      <c r="K87" s="3007" t="str">
        <f t="shared" si="12"/>
        <v xml:space="preserve">10层 </v>
      </c>
      <c r="L87" s="3007" t="str">
        <f>L86</f>
        <v>7层</v>
      </c>
      <c r="N87">
        <f t="shared" ca="1" si="9"/>
        <v>493955</v>
      </c>
    </row>
    <row r="88" spans="1:14" ht="24">
      <c r="A88" s="3015">
        <v>85</v>
      </c>
      <c r="B88" s="3015" t="s">
        <v>3187</v>
      </c>
      <c r="C88" s="3004" t="s">
        <v>3527</v>
      </c>
      <c r="D88" s="3007" t="s">
        <v>4119</v>
      </c>
      <c r="E88" s="3008" t="s">
        <v>4120</v>
      </c>
      <c r="F88" s="3019">
        <v>52.81</v>
      </c>
      <c r="G88" s="3019">
        <v>6.69</v>
      </c>
      <c r="H88" s="3016" t="s">
        <v>1373</v>
      </c>
      <c r="I88" s="3015" t="str">
        <f t="shared" si="10"/>
        <v>旅游用地</v>
      </c>
      <c r="J88" s="3010">
        <f t="shared" si="11"/>
        <v>56156</v>
      </c>
      <c r="K88" s="3007" t="str">
        <f t="shared" si="12"/>
        <v xml:space="preserve">10层 </v>
      </c>
      <c r="L88" s="3007" t="str">
        <f t="shared" si="12"/>
        <v>7层</v>
      </c>
      <c r="N88">
        <f t="shared" ca="1" si="9"/>
        <v>492929</v>
      </c>
    </row>
    <row r="89" spans="1:14" ht="24">
      <c r="A89" s="3015">
        <v>86</v>
      </c>
      <c r="B89" s="3015" t="s">
        <v>3188</v>
      </c>
      <c r="C89" s="3004" t="s">
        <v>3527</v>
      </c>
      <c r="D89" s="3007" t="s">
        <v>4121</v>
      </c>
      <c r="E89" s="3008" t="s">
        <v>4122</v>
      </c>
      <c r="F89" s="3019">
        <v>53.17</v>
      </c>
      <c r="G89" s="3019">
        <v>6.73</v>
      </c>
      <c r="H89" s="3016" t="s">
        <v>1373</v>
      </c>
      <c r="I89" s="3015" t="str">
        <f t="shared" si="10"/>
        <v>旅游用地</v>
      </c>
      <c r="J89" s="3010">
        <f t="shared" si="11"/>
        <v>56156</v>
      </c>
      <c r="K89" s="3007" t="str">
        <f t="shared" si="12"/>
        <v xml:space="preserve">10层 </v>
      </c>
      <c r="L89" s="3007" t="str">
        <f t="shared" si="12"/>
        <v>7层</v>
      </c>
      <c r="N89">
        <f t="shared" ca="1" si="9"/>
        <v>496289</v>
      </c>
    </row>
    <row r="90" spans="1:14" ht="24">
      <c r="A90" s="3015">
        <v>87</v>
      </c>
      <c r="B90" s="3015" t="s">
        <v>3189</v>
      </c>
      <c r="C90" s="3004" t="s">
        <v>3527</v>
      </c>
      <c r="D90" s="3007" t="s">
        <v>4123</v>
      </c>
      <c r="E90" s="3008" t="s">
        <v>4124</v>
      </c>
      <c r="F90" s="3019">
        <v>65.760000000000005</v>
      </c>
      <c r="G90" s="3019">
        <v>8.33</v>
      </c>
      <c r="H90" s="3016" t="s">
        <v>1373</v>
      </c>
      <c r="I90" s="3015" t="str">
        <f t="shared" si="10"/>
        <v>旅游用地</v>
      </c>
      <c r="J90" s="3010">
        <f t="shared" si="11"/>
        <v>56156</v>
      </c>
      <c r="K90" s="3007" t="str">
        <f t="shared" si="12"/>
        <v xml:space="preserve">10层 </v>
      </c>
      <c r="L90" s="3007" t="str">
        <f t="shared" si="12"/>
        <v>7层</v>
      </c>
      <c r="N90">
        <f t="shared" ca="1" si="9"/>
        <v>613804</v>
      </c>
    </row>
    <row r="91" spans="1:14" ht="24">
      <c r="A91" s="3015">
        <v>88</v>
      </c>
      <c r="B91" s="3015" t="s">
        <v>3194</v>
      </c>
      <c r="C91" s="3004" t="s">
        <v>3527</v>
      </c>
      <c r="D91" s="3007" t="s">
        <v>4125</v>
      </c>
      <c r="E91" s="3008" t="s">
        <v>4126</v>
      </c>
      <c r="F91" s="3019">
        <v>65.760000000000005</v>
      </c>
      <c r="G91" s="3019">
        <v>8.33</v>
      </c>
      <c r="H91" s="3016" t="s">
        <v>1373</v>
      </c>
      <c r="I91" s="3015" t="str">
        <f t="shared" si="10"/>
        <v>旅游用地</v>
      </c>
      <c r="J91" s="3010">
        <f t="shared" si="11"/>
        <v>56156</v>
      </c>
      <c r="K91" s="3007" t="str">
        <f t="shared" si="12"/>
        <v xml:space="preserve">10层 </v>
      </c>
      <c r="L91" s="3007" t="str">
        <f t="shared" si="12"/>
        <v>7层</v>
      </c>
      <c r="N91">
        <f t="shared" ca="1" si="9"/>
        <v>613804</v>
      </c>
    </row>
    <row r="92" spans="1:14" ht="24">
      <c r="A92" s="3015">
        <v>89</v>
      </c>
      <c r="B92" s="3015" t="s">
        <v>3195</v>
      </c>
      <c r="C92" s="3004" t="s">
        <v>3993</v>
      </c>
      <c r="D92" s="3007" t="s">
        <v>4127</v>
      </c>
      <c r="E92" s="3008" t="s">
        <v>4128</v>
      </c>
      <c r="F92" s="3019">
        <v>53.17</v>
      </c>
      <c r="G92" s="3019">
        <v>6.73</v>
      </c>
      <c r="H92" s="3016" t="s">
        <v>1373</v>
      </c>
      <c r="I92" s="3015" t="str">
        <f t="shared" si="10"/>
        <v>旅游用地</v>
      </c>
      <c r="J92" s="3010">
        <f t="shared" si="11"/>
        <v>56156</v>
      </c>
      <c r="K92" s="3007" t="str">
        <f t="shared" si="12"/>
        <v xml:space="preserve">10层 </v>
      </c>
      <c r="L92" s="3007" t="str">
        <f t="shared" si="12"/>
        <v>7层</v>
      </c>
      <c r="N92">
        <f t="shared" ca="1" si="9"/>
        <v>496289</v>
      </c>
    </row>
    <row r="93" spans="1:14" ht="24">
      <c r="A93" s="3015">
        <v>90</v>
      </c>
      <c r="B93" s="3015" t="s">
        <v>3196</v>
      </c>
      <c r="C93" s="3004" t="s">
        <v>3993</v>
      </c>
      <c r="D93" s="3007" t="s">
        <v>4129</v>
      </c>
      <c r="E93" s="3008" t="s">
        <v>4130</v>
      </c>
      <c r="F93" s="3019">
        <v>52.81</v>
      </c>
      <c r="G93" s="3019">
        <v>6.69</v>
      </c>
      <c r="H93" s="3016" t="s">
        <v>1373</v>
      </c>
      <c r="I93" s="3015" t="str">
        <f t="shared" si="10"/>
        <v>旅游用地</v>
      </c>
      <c r="J93" s="3010">
        <f t="shared" si="11"/>
        <v>56156</v>
      </c>
      <c r="K93" s="3007" t="str">
        <f t="shared" ref="K93:L108" si="13">K92</f>
        <v xml:space="preserve">10层 </v>
      </c>
      <c r="L93" s="3007" t="str">
        <f t="shared" si="13"/>
        <v>7层</v>
      </c>
      <c r="N93">
        <f t="shared" ca="1" si="9"/>
        <v>492929</v>
      </c>
    </row>
    <row r="94" spans="1:14" ht="24">
      <c r="A94" s="3015">
        <v>91</v>
      </c>
      <c r="B94" s="3015" t="s">
        <v>3197</v>
      </c>
      <c r="C94" s="3004" t="s">
        <v>4002</v>
      </c>
      <c r="D94" s="3007" t="s">
        <v>4131</v>
      </c>
      <c r="E94" s="3008" t="s">
        <v>4132</v>
      </c>
      <c r="F94" s="3019">
        <v>52.92</v>
      </c>
      <c r="G94" s="3019">
        <v>6.7</v>
      </c>
      <c r="H94" s="3016" t="s">
        <v>1373</v>
      </c>
      <c r="I94" s="3015" t="str">
        <f t="shared" si="10"/>
        <v>旅游用地</v>
      </c>
      <c r="J94" s="3010">
        <f t="shared" si="11"/>
        <v>56156</v>
      </c>
      <c r="K94" s="3007" t="str">
        <f t="shared" si="13"/>
        <v xml:space="preserve">10层 </v>
      </c>
      <c r="L94" s="3007" t="str">
        <f t="shared" si="13"/>
        <v>7层</v>
      </c>
      <c r="N94">
        <f t="shared" ca="1" si="9"/>
        <v>493955</v>
      </c>
    </row>
    <row r="95" spans="1:14" ht="24">
      <c r="A95" s="3015">
        <v>92</v>
      </c>
      <c r="B95" s="3015" t="s">
        <v>3198</v>
      </c>
      <c r="C95" s="3004" t="s">
        <v>3934</v>
      </c>
      <c r="D95" s="3007" t="s">
        <v>4133</v>
      </c>
      <c r="E95" s="3008" t="s">
        <v>4134</v>
      </c>
      <c r="F95" s="3019">
        <v>72.42</v>
      </c>
      <c r="G95" s="3019">
        <v>9.17</v>
      </c>
      <c r="H95" s="3016" t="s">
        <v>1373</v>
      </c>
      <c r="I95" s="3015" t="str">
        <f t="shared" si="10"/>
        <v>旅游用地</v>
      </c>
      <c r="J95" s="3010">
        <f t="shared" si="11"/>
        <v>56156</v>
      </c>
      <c r="K95" s="3007" t="str">
        <f t="shared" si="13"/>
        <v xml:space="preserve">10层 </v>
      </c>
      <c r="L95" s="3007" t="str">
        <f t="shared" si="13"/>
        <v>7层</v>
      </c>
      <c r="N95">
        <f t="shared" ca="1" si="9"/>
        <v>675968</v>
      </c>
    </row>
    <row r="96" spans="1:14" ht="24">
      <c r="A96" s="3015">
        <v>93</v>
      </c>
      <c r="B96" s="3015" t="s">
        <v>3206</v>
      </c>
      <c r="C96" s="3004" t="s">
        <v>4047</v>
      </c>
      <c r="D96" s="3007" t="s">
        <v>4135</v>
      </c>
      <c r="E96" s="3008" t="s">
        <v>4136</v>
      </c>
      <c r="F96" s="3019">
        <v>68.849999999999994</v>
      </c>
      <c r="G96" s="3019">
        <v>8.7200000000000006</v>
      </c>
      <c r="H96" s="3016" t="s">
        <v>1373</v>
      </c>
      <c r="I96" s="3015" t="str">
        <f t="shared" si="10"/>
        <v>旅游用地</v>
      </c>
      <c r="J96" s="3010">
        <f t="shared" si="11"/>
        <v>56156</v>
      </c>
      <c r="K96" s="3007" t="str">
        <f t="shared" si="13"/>
        <v xml:space="preserve">10层 </v>
      </c>
      <c r="L96" s="3007" t="s">
        <v>4137</v>
      </c>
      <c r="N96">
        <f t="shared" ca="1" si="9"/>
        <v>642646</v>
      </c>
    </row>
    <row r="97" spans="1:14" ht="24">
      <c r="A97" s="3015">
        <v>94</v>
      </c>
      <c r="B97" s="3015" t="s">
        <v>3207</v>
      </c>
      <c r="C97" s="3004" t="s">
        <v>4138</v>
      </c>
      <c r="D97" s="3007" t="s">
        <v>4139</v>
      </c>
      <c r="E97" s="3008" t="s">
        <v>4140</v>
      </c>
      <c r="F97" s="3019">
        <v>53.19</v>
      </c>
      <c r="G97" s="3019">
        <v>6.74</v>
      </c>
      <c r="H97" s="3016" t="s">
        <v>1373</v>
      </c>
      <c r="I97" s="3015" t="str">
        <f t="shared" si="10"/>
        <v>旅游用地</v>
      </c>
      <c r="J97" s="3010">
        <f t="shared" si="11"/>
        <v>56156</v>
      </c>
      <c r="K97" s="3007" t="str">
        <f t="shared" si="13"/>
        <v xml:space="preserve">10层 </v>
      </c>
      <c r="L97" s="3007" t="str">
        <f>L96</f>
        <v>8层</v>
      </c>
      <c r="N97">
        <f t="shared" ca="1" si="9"/>
        <v>496475</v>
      </c>
    </row>
    <row r="98" spans="1:14" ht="24">
      <c r="A98" s="3015">
        <v>95</v>
      </c>
      <c r="B98" s="3015" t="s">
        <v>3208</v>
      </c>
      <c r="C98" s="3004" t="s">
        <v>3999</v>
      </c>
      <c r="D98" s="3007" t="s">
        <v>4141</v>
      </c>
      <c r="E98" s="3008" t="s">
        <v>4142</v>
      </c>
      <c r="F98" s="3019">
        <v>53.08</v>
      </c>
      <c r="G98" s="3019">
        <v>6.72</v>
      </c>
      <c r="H98" s="3016" t="s">
        <v>1373</v>
      </c>
      <c r="I98" s="3015" t="str">
        <f t="shared" si="10"/>
        <v>旅游用地</v>
      </c>
      <c r="J98" s="3010">
        <f t="shared" si="11"/>
        <v>56156</v>
      </c>
      <c r="K98" s="3007" t="str">
        <f t="shared" si="13"/>
        <v xml:space="preserve">10层 </v>
      </c>
      <c r="L98" s="3007" t="str">
        <f t="shared" si="13"/>
        <v>8层</v>
      </c>
      <c r="N98">
        <f t="shared" ca="1" si="9"/>
        <v>495449</v>
      </c>
    </row>
    <row r="99" spans="1:14" ht="24">
      <c r="A99" s="3015">
        <v>96</v>
      </c>
      <c r="B99" s="3015" t="s">
        <v>3209</v>
      </c>
      <c r="C99" s="3004" t="s">
        <v>3431</v>
      </c>
      <c r="D99" s="3007" t="s">
        <v>4143</v>
      </c>
      <c r="E99" s="3008" t="s">
        <v>4144</v>
      </c>
      <c r="F99" s="3019">
        <v>53.45</v>
      </c>
      <c r="G99" s="3019">
        <v>6.77</v>
      </c>
      <c r="H99" s="3016" t="s">
        <v>1373</v>
      </c>
      <c r="I99" s="3015" t="str">
        <f t="shared" si="10"/>
        <v>旅游用地</v>
      </c>
      <c r="J99" s="3010">
        <f t="shared" si="11"/>
        <v>56156</v>
      </c>
      <c r="K99" s="3007" t="str">
        <f t="shared" si="13"/>
        <v xml:space="preserve">10层 </v>
      </c>
      <c r="L99" s="3007" t="str">
        <f t="shared" si="13"/>
        <v>8层</v>
      </c>
      <c r="N99">
        <f t="shared" ca="1" si="9"/>
        <v>498902</v>
      </c>
    </row>
    <row r="100" spans="1:14" ht="24">
      <c r="A100" s="3015">
        <v>97</v>
      </c>
      <c r="B100" s="3015" t="s">
        <v>3210</v>
      </c>
      <c r="C100" s="3004" t="s">
        <v>3431</v>
      </c>
      <c r="D100" s="3007" t="s">
        <v>4145</v>
      </c>
      <c r="E100" s="3008" t="s">
        <v>4146</v>
      </c>
      <c r="F100" s="3019">
        <v>66.099999999999994</v>
      </c>
      <c r="G100" s="3019">
        <v>8.3699999999999992</v>
      </c>
      <c r="H100" s="3016" t="s">
        <v>1373</v>
      </c>
      <c r="I100" s="3015" t="str">
        <f t="shared" si="10"/>
        <v>旅游用地</v>
      </c>
      <c r="J100" s="3010">
        <f t="shared" si="11"/>
        <v>56156</v>
      </c>
      <c r="K100" s="3007" t="str">
        <f t="shared" si="13"/>
        <v xml:space="preserve">10层 </v>
      </c>
      <c r="L100" s="3007" t="str">
        <f t="shared" si="13"/>
        <v>8层</v>
      </c>
      <c r="N100">
        <f t="shared" ca="1" si="9"/>
        <v>616977</v>
      </c>
    </row>
    <row r="101" spans="1:14" ht="24">
      <c r="A101" s="3015">
        <v>98</v>
      </c>
      <c r="B101" s="3015" t="s">
        <v>3211</v>
      </c>
      <c r="C101" s="3004" t="s">
        <v>3996</v>
      </c>
      <c r="D101" s="3007" t="s">
        <v>4147</v>
      </c>
      <c r="E101" s="3008" t="s">
        <v>4148</v>
      </c>
      <c r="F101" s="3019">
        <v>44.89</v>
      </c>
      <c r="G101" s="3007">
        <v>5.68</v>
      </c>
      <c r="H101" s="3016" t="s">
        <v>1373</v>
      </c>
      <c r="I101" s="3015" t="str">
        <f t="shared" si="10"/>
        <v>旅游用地</v>
      </c>
      <c r="J101" s="3010">
        <f t="shared" si="11"/>
        <v>56156</v>
      </c>
      <c r="K101" s="3007" t="str">
        <f t="shared" si="13"/>
        <v xml:space="preserve">10层 </v>
      </c>
      <c r="L101" s="3007" t="str">
        <f t="shared" si="13"/>
        <v>8层</v>
      </c>
      <c r="N101">
        <f t="shared" ca="1" si="9"/>
        <v>419003</v>
      </c>
    </row>
    <row r="102" spans="1:14" ht="24">
      <c r="A102" s="3015">
        <v>99</v>
      </c>
      <c r="B102" s="3015" t="s">
        <v>3212</v>
      </c>
      <c r="C102" s="3004" t="s">
        <v>4047</v>
      </c>
      <c r="D102" s="3007" t="s">
        <v>4149</v>
      </c>
      <c r="E102" s="3008" t="s">
        <v>4150</v>
      </c>
      <c r="F102" s="3019">
        <v>58.08</v>
      </c>
      <c r="G102" s="3007">
        <v>7.36</v>
      </c>
      <c r="H102" s="3016" t="s">
        <v>1373</v>
      </c>
      <c r="I102" s="3015" t="str">
        <f t="shared" si="10"/>
        <v>旅游用地</v>
      </c>
      <c r="J102" s="3010">
        <f t="shared" si="11"/>
        <v>56156</v>
      </c>
      <c r="K102" s="3007" t="str">
        <f t="shared" si="13"/>
        <v xml:space="preserve">10层 </v>
      </c>
      <c r="L102" s="3007" t="str">
        <f t="shared" si="13"/>
        <v>8层</v>
      </c>
      <c r="N102">
        <f t="shared" ca="1" si="9"/>
        <v>542119</v>
      </c>
    </row>
    <row r="103" spans="1:14" ht="24">
      <c r="A103" s="3015">
        <v>100</v>
      </c>
      <c r="B103" s="3015" t="s">
        <v>3213</v>
      </c>
      <c r="C103" s="3004" t="s">
        <v>3840</v>
      </c>
      <c r="D103" s="3007" t="s">
        <v>4151</v>
      </c>
      <c r="E103" s="3008" t="s">
        <v>4152</v>
      </c>
      <c r="F103" s="3019">
        <v>58.08</v>
      </c>
      <c r="G103" s="3007">
        <v>7.36</v>
      </c>
      <c r="H103" s="3016" t="s">
        <v>1373</v>
      </c>
      <c r="I103" s="3015" t="str">
        <f t="shared" si="10"/>
        <v>旅游用地</v>
      </c>
      <c r="J103" s="3010">
        <f t="shared" si="11"/>
        <v>56156</v>
      </c>
      <c r="K103" s="3007" t="str">
        <f t="shared" si="13"/>
        <v xml:space="preserve">10层 </v>
      </c>
      <c r="L103" s="3007" t="str">
        <f t="shared" si="13"/>
        <v>8层</v>
      </c>
      <c r="N103">
        <f t="shared" ca="1" si="9"/>
        <v>542119</v>
      </c>
    </row>
    <row r="104" spans="1:14" ht="24">
      <c r="A104" s="3015">
        <v>101</v>
      </c>
      <c r="B104" s="3015" t="s">
        <v>3214</v>
      </c>
      <c r="C104" s="3004" t="s">
        <v>3840</v>
      </c>
      <c r="D104" s="3007" t="s">
        <v>4153</v>
      </c>
      <c r="E104" s="3008" t="s">
        <v>4154</v>
      </c>
      <c r="F104" s="3019">
        <v>44.89</v>
      </c>
      <c r="G104" s="3007">
        <v>5.68</v>
      </c>
      <c r="H104" s="3016" t="s">
        <v>1373</v>
      </c>
      <c r="I104" s="3015" t="str">
        <f t="shared" si="10"/>
        <v>旅游用地</v>
      </c>
      <c r="J104" s="3010">
        <f t="shared" si="11"/>
        <v>56156</v>
      </c>
      <c r="K104" s="3007" t="str">
        <f t="shared" si="13"/>
        <v xml:space="preserve">10层 </v>
      </c>
      <c r="L104" s="3007" t="str">
        <f t="shared" si="13"/>
        <v>8层</v>
      </c>
      <c r="N104">
        <f t="shared" ca="1" si="9"/>
        <v>419003</v>
      </c>
    </row>
    <row r="105" spans="1:14" ht="24">
      <c r="A105" s="3015">
        <v>102</v>
      </c>
      <c r="B105" s="3015" t="s">
        <v>3215</v>
      </c>
      <c r="C105" s="3004" t="s">
        <v>3840</v>
      </c>
      <c r="D105" s="3007" t="s">
        <v>4155</v>
      </c>
      <c r="E105" s="3008" t="s">
        <v>4156</v>
      </c>
      <c r="F105" s="3019">
        <v>66.099999999999994</v>
      </c>
      <c r="G105" s="3019">
        <v>8.3699999999999992</v>
      </c>
      <c r="H105" s="3016" t="s">
        <v>1373</v>
      </c>
      <c r="I105" s="3015" t="str">
        <f t="shared" si="10"/>
        <v>旅游用地</v>
      </c>
      <c r="J105" s="3010">
        <f t="shared" si="11"/>
        <v>56156</v>
      </c>
      <c r="K105" s="3007" t="str">
        <f t="shared" si="13"/>
        <v xml:space="preserve">10层 </v>
      </c>
      <c r="L105" s="3007" t="str">
        <f t="shared" si="13"/>
        <v>8层</v>
      </c>
      <c r="N105">
        <f t="shared" ca="1" si="9"/>
        <v>616977</v>
      </c>
    </row>
    <row r="106" spans="1:14" ht="24">
      <c r="A106" s="3015">
        <v>103</v>
      </c>
      <c r="B106" s="3015" t="s">
        <v>3216</v>
      </c>
      <c r="C106" s="3004" t="s">
        <v>3431</v>
      </c>
      <c r="D106" s="3007" t="s">
        <v>4157</v>
      </c>
      <c r="E106" s="3008" t="s">
        <v>4158</v>
      </c>
      <c r="F106" s="3019">
        <v>53.45</v>
      </c>
      <c r="G106" s="3019">
        <v>6.77</v>
      </c>
      <c r="H106" s="3016" t="s">
        <v>1373</v>
      </c>
      <c r="I106" s="3015" t="str">
        <f t="shared" si="10"/>
        <v>旅游用地</v>
      </c>
      <c r="J106" s="3010">
        <f t="shared" si="11"/>
        <v>56156</v>
      </c>
      <c r="K106" s="3007" t="str">
        <f t="shared" si="13"/>
        <v xml:space="preserve">10层 </v>
      </c>
      <c r="L106" s="3007" t="str">
        <f t="shared" si="13"/>
        <v>8层</v>
      </c>
      <c r="N106">
        <f t="shared" ca="1" si="9"/>
        <v>498902</v>
      </c>
    </row>
    <row r="107" spans="1:14" ht="24">
      <c r="A107" s="3015">
        <v>104</v>
      </c>
      <c r="B107" s="3015" t="s">
        <v>3217</v>
      </c>
      <c r="C107" s="3004" t="s">
        <v>3431</v>
      </c>
      <c r="D107" s="3007" t="s">
        <v>4159</v>
      </c>
      <c r="E107" s="3008" t="s">
        <v>4160</v>
      </c>
      <c r="F107" s="3019">
        <v>53.08</v>
      </c>
      <c r="G107" s="3019">
        <v>6.72</v>
      </c>
      <c r="H107" s="3016" t="s">
        <v>1373</v>
      </c>
      <c r="I107" s="3015" t="str">
        <f t="shared" si="10"/>
        <v>旅游用地</v>
      </c>
      <c r="J107" s="3010">
        <f t="shared" si="11"/>
        <v>56156</v>
      </c>
      <c r="K107" s="3007" t="str">
        <f t="shared" si="13"/>
        <v xml:space="preserve">10层 </v>
      </c>
      <c r="L107" s="3007" t="str">
        <f t="shared" si="13"/>
        <v>8层</v>
      </c>
      <c r="N107">
        <f t="shared" ca="1" si="9"/>
        <v>495449</v>
      </c>
    </row>
    <row r="108" spans="1:14" ht="24">
      <c r="A108" s="3015">
        <v>105</v>
      </c>
      <c r="B108" s="3015" t="s">
        <v>3218</v>
      </c>
      <c r="C108" s="3004" t="s">
        <v>3431</v>
      </c>
      <c r="D108" s="3007" t="s">
        <v>4161</v>
      </c>
      <c r="E108" s="3008" t="s">
        <v>4162</v>
      </c>
      <c r="F108" s="3019">
        <v>53.19</v>
      </c>
      <c r="G108" s="3019">
        <v>6.74</v>
      </c>
      <c r="H108" s="3016" t="s">
        <v>1373</v>
      </c>
      <c r="I108" s="3015" t="str">
        <f t="shared" si="10"/>
        <v>旅游用地</v>
      </c>
      <c r="J108" s="3010">
        <f t="shared" si="11"/>
        <v>56156</v>
      </c>
      <c r="K108" s="3007" t="str">
        <f t="shared" si="13"/>
        <v xml:space="preserve">10层 </v>
      </c>
      <c r="L108" s="3007" t="str">
        <f t="shared" si="13"/>
        <v>8层</v>
      </c>
      <c r="N108">
        <f t="shared" ca="1" si="9"/>
        <v>496475</v>
      </c>
    </row>
    <row r="109" spans="1:14" ht="24">
      <c r="A109" s="3015">
        <v>106</v>
      </c>
      <c r="B109" s="3015" t="s">
        <v>3219</v>
      </c>
      <c r="C109" s="3004" t="s">
        <v>3943</v>
      </c>
      <c r="D109" s="3007" t="s">
        <v>4163</v>
      </c>
      <c r="E109" s="3008" t="s">
        <v>4164</v>
      </c>
      <c r="F109" s="3019">
        <v>72.8</v>
      </c>
      <c r="G109" s="3019">
        <v>9.2200000000000006</v>
      </c>
      <c r="H109" s="3016" t="s">
        <v>1373</v>
      </c>
      <c r="I109" s="3015" t="str">
        <f t="shared" si="10"/>
        <v>旅游用地</v>
      </c>
      <c r="J109" s="3010">
        <f t="shared" si="11"/>
        <v>56156</v>
      </c>
      <c r="K109" s="3007" t="str">
        <f t="shared" ref="K109:L122" si="14">K108</f>
        <v xml:space="preserve">10层 </v>
      </c>
      <c r="L109" s="3007" t="str">
        <f t="shared" si="14"/>
        <v>8层</v>
      </c>
      <c r="N109">
        <f t="shared" ca="1" si="9"/>
        <v>679515</v>
      </c>
    </row>
    <row r="110" spans="1:14" ht="24">
      <c r="A110" s="3015">
        <v>107</v>
      </c>
      <c r="B110" s="3015" t="s">
        <v>3227</v>
      </c>
      <c r="C110" s="3004" t="s">
        <v>3431</v>
      </c>
      <c r="D110" s="3007" t="s">
        <v>4165</v>
      </c>
      <c r="E110" s="3008" t="s">
        <v>4166</v>
      </c>
      <c r="F110" s="3019">
        <v>70.040000000000006</v>
      </c>
      <c r="G110" s="3019">
        <v>8.8699999999999992</v>
      </c>
      <c r="H110" s="3016" t="s">
        <v>1373</v>
      </c>
      <c r="I110" s="3015" t="str">
        <f t="shared" si="10"/>
        <v>旅游用地</v>
      </c>
      <c r="J110" s="3010">
        <f t="shared" si="11"/>
        <v>56156</v>
      </c>
      <c r="K110" s="3007" t="str">
        <f t="shared" si="14"/>
        <v xml:space="preserve">10层 </v>
      </c>
      <c r="L110" s="3007" t="s">
        <v>4167</v>
      </c>
      <c r="N110">
        <f t="shared" ca="1" si="9"/>
        <v>653753</v>
      </c>
    </row>
    <row r="111" spans="1:14" ht="24">
      <c r="A111" s="3015">
        <v>108</v>
      </c>
      <c r="B111" s="3015" t="s">
        <v>3228</v>
      </c>
      <c r="C111" s="3004" t="s">
        <v>4047</v>
      </c>
      <c r="D111" s="3007" t="s">
        <v>4168</v>
      </c>
      <c r="E111" s="3008" t="s">
        <v>4169</v>
      </c>
      <c r="F111" s="3019">
        <v>54.11</v>
      </c>
      <c r="G111" s="3019">
        <v>6.85</v>
      </c>
      <c r="H111" s="3016" t="s">
        <v>1373</v>
      </c>
      <c r="I111" s="3015" t="str">
        <f t="shared" si="10"/>
        <v>旅游用地</v>
      </c>
      <c r="J111" s="3010">
        <f t="shared" si="11"/>
        <v>56156</v>
      </c>
      <c r="K111" s="3007" t="str">
        <f t="shared" si="14"/>
        <v xml:space="preserve">10层 </v>
      </c>
      <c r="L111" s="3007" t="str">
        <f>L110</f>
        <v>9层</v>
      </c>
      <c r="N111">
        <f t="shared" ca="1" si="9"/>
        <v>505063</v>
      </c>
    </row>
    <row r="112" spans="1:14" ht="24">
      <c r="A112" s="3015">
        <v>109</v>
      </c>
      <c r="B112" s="3015" t="s">
        <v>3229</v>
      </c>
      <c r="C112" s="3004" t="s">
        <v>3840</v>
      </c>
      <c r="D112" s="3007" t="s">
        <v>4170</v>
      </c>
      <c r="E112" s="3008" t="s">
        <v>4171</v>
      </c>
      <c r="F112" s="3019">
        <v>54</v>
      </c>
      <c r="G112" s="3019">
        <v>6.84</v>
      </c>
      <c r="H112" s="3016" t="s">
        <v>1373</v>
      </c>
      <c r="I112" s="3015" t="str">
        <f t="shared" si="10"/>
        <v>旅游用地</v>
      </c>
      <c r="J112" s="3010">
        <f t="shared" si="11"/>
        <v>56156</v>
      </c>
      <c r="K112" s="3007" t="str">
        <f t="shared" si="14"/>
        <v xml:space="preserve">10层 </v>
      </c>
      <c r="L112" s="3007" t="str">
        <f t="shared" si="14"/>
        <v>9层</v>
      </c>
      <c r="N112">
        <f t="shared" ca="1" si="9"/>
        <v>504036</v>
      </c>
    </row>
    <row r="113" spans="1:14" ht="24">
      <c r="A113" s="3015">
        <v>110</v>
      </c>
      <c r="B113" s="3015" t="s">
        <v>3230</v>
      </c>
      <c r="C113" s="3004" t="s">
        <v>3996</v>
      </c>
      <c r="D113" s="3007" t="s">
        <v>4172</v>
      </c>
      <c r="E113" s="3008" t="s">
        <v>4173</v>
      </c>
      <c r="F113" s="3019">
        <v>54.5</v>
      </c>
      <c r="G113" s="3019">
        <v>6.9</v>
      </c>
      <c r="H113" s="3016" t="s">
        <v>1373</v>
      </c>
      <c r="I113" s="3015" t="str">
        <f t="shared" si="10"/>
        <v>旅游用地</v>
      </c>
      <c r="J113" s="3010">
        <f t="shared" si="11"/>
        <v>56156</v>
      </c>
      <c r="K113" s="3007" t="str">
        <f t="shared" si="14"/>
        <v xml:space="preserve">10层 </v>
      </c>
      <c r="L113" s="3007" t="str">
        <f t="shared" si="14"/>
        <v>9层</v>
      </c>
      <c r="N113">
        <f t="shared" ca="1" si="9"/>
        <v>508703</v>
      </c>
    </row>
    <row r="114" spans="1:14" ht="24">
      <c r="A114" s="3015">
        <v>111</v>
      </c>
      <c r="B114" s="3015" t="s">
        <v>3231</v>
      </c>
      <c r="C114" s="3004" t="s">
        <v>4005</v>
      </c>
      <c r="D114" s="3007" t="s">
        <v>4174</v>
      </c>
      <c r="E114" s="3008" t="s">
        <v>4175</v>
      </c>
      <c r="F114" s="3019">
        <v>61.54</v>
      </c>
      <c r="G114" s="3019">
        <v>7.79</v>
      </c>
      <c r="H114" s="3016" t="s">
        <v>1373</v>
      </c>
      <c r="I114" s="3015" t="str">
        <f t="shared" si="10"/>
        <v>旅游用地</v>
      </c>
      <c r="J114" s="3010">
        <f t="shared" si="11"/>
        <v>56156</v>
      </c>
      <c r="K114" s="3007" t="str">
        <f t="shared" si="14"/>
        <v xml:space="preserve">10层 </v>
      </c>
      <c r="L114" s="3007" t="str">
        <f t="shared" si="14"/>
        <v>9层</v>
      </c>
      <c r="N114">
        <f t="shared" ca="1" si="9"/>
        <v>574414</v>
      </c>
    </row>
    <row r="115" spans="1:14" ht="24">
      <c r="A115" s="3015">
        <v>112</v>
      </c>
      <c r="B115" s="3015" t="s">
        <v>3232</v>
      </c>
      <c r="C115" s="3004" t="s">
        <v>4176</v>
      </c>
      <c r="D115" s="3007" t="s">
        <v>4177</v>
      </c>
      <c r="E115" s="3008" t="s">
        <v>4178</v>
      </c>
      <c r="F115" s="3019">
        <v>31.3</v>
      </c>
      <c r="G115" s="3019">
        <v>3.96</v>
      </c>
      <c r="H115" s="3016" t="s">
        <v>1373</v>
      </c>
      <c r="I115" s="3015" t="str">
        <f t="shared" si="10"/>
        <v>旅游用地</v>
      </c>
      <c r="J115" s="3010">
        <f t="shared" si="11"/>
        <v>56156</v>
      </c>
      <c r="K115" s="3007" t="str">
        <f t="shared" si="14"/>
        <v xml:space="preserve">10层 </v>
      </c>
      <c r="L115" s="3007" t="str">
        <f t="shared" si="14"/>
        <v>9层</v>
      </c>
      <c r="N115">
        <f t="shared" ca="1" si="9"/>
        <v>292154</v>
      </c>
    </row>
    <row r="116" spans="1:14" ht="24">
      <c r="A116" s="3015">
        <v>113</v>
      </c>
      <c r="B116" s="3015" t="s">
        <v>3233</v>
      </c>
      <c r="C116" s="3004" t="s">
        <v>4002</v>
      </c>
      <c r="D116" s="3007" t="s">
        <v>4179</v>
      </c>
      <c r="E116" s="3008" t="s">
        <v>4180</v>
      </c>
      <c r="F116" s="3019">
        <v>55.98</v>
      </c>
      <c r="G116" s="3019">
        <v>7.09</v>
      </c>
      <c r="H116" s="3016" t="s">
        <v>1373</v>
      </c>
      <c r="I116" s="3015" t="str">
        <f t="shared" si="10"/>
        <v>旅游用地</v>
      </c>
      <c r="J116" s="3010">
        <f t="shared" si="11"/>
        <v>56156</v>
      </c>
      <c r="K116" s="3007" t="str">
        <f t="shared" si="14"/>
        <v xml:space="preserve">10层 </v>
      </c>
      <c r="L116" s="3007" t="str">
        <f t="shared" si="14"/>
        <v>9层</v>
      </c>
      <c r="N116">
        <f t="shared" ca="1" si="9"/>
        <v>522517</v>
      </c>
    </row>
    <row r="117" spans="1:14" ht="24">
      <c r="A117" s="3015">
        <v>114</v>
      </c>
      <c r="B117" s="3015" t="s">
        <v>3234</v>
      </c>
      <c r="C117" s="3004" t="s">
        <v>4181</v>
      </c>
      <c r="D117" s="3007" t="s">
        <v>4182</v>
      </c>
      <c r="E117" s="3008" t="s">
        <v>4183</v>
      </c>
      <c r="F117" s="3019">
        <v>37.78</v>
      </c>
      <c r="G117" s="3019">
        <v>4.78</v>
      </c>
      <c r="H117" s="3016" t="s">
        <v>1373</v>
      </c>
      <c r="I117" s="3015" t="str">
        <f t="shared" si="10"/>
        <v>旅游用地</v>
      </c>
      <c r="J117" s="3010">
        <f t="shared" si="11"/>
        <v>56156</v>
      </c>
      <c r="K117" s="3007" t="str">
        <f t="shared" si="14"/>
        <v xml:space="preserve">10层 </v>
      </c>
      <c r="L117" s="3007" t="str">
        <f t="shared" si="14"/>
        <v>9层</v>
      </c>
      <c r="N117">
        <f t="shared" ca="1" si="9"/>
        <v>352639</v>
      </c>
    </row>
    <row r="118" spans="1:14" ht="24">
      <c r="A118" s="3015">
        <v>115</v>
      </c>
      <c r="B118" s="3015" t="s">
        <v>3235</v>
      </c>
      <c r="C118" s="3004" t="s">
        <v>3996</v>
      </c>
      <c r="D118" s="3007" t="s">
        <v>4184</v>
      </c>
      <c r="E118" s="3008" t="s">
        <v>4185</v>
      </c>
      <c r="F118" s="3019">
        <v>61.54</v>
      </c>
      <c r="G118" s="3019">
        <v>7.79</v>
      </c>
      <c r="H118" s="3016" t="s">
        <v>1373</v>
      </c>
      <c r="I118" s="3015" t="str">
        <f t="shared" si="10"/>
        <v>旅游用地</v>
      </c>
      <c r="J118" s="3010">
        <f t="shared" si="11"/>
        <v>56156</v>
      </c>
      <c r="K118" s="3007" t="str">
        <f t="shared" si="14"/>
        <v xml:space="preserve">10层 </v>
      </c>
      <c r="L118" s="3007" t="str">
        <f t="shared" si="14"/>
        <v>9层</v>
      </c>
      <c r="N118">
        <f t="shared" ca="1" si="9"/>
        <v>574414</v>
      </c>
    </row>
    <row r="119" spans="1:14" ht="24">
      <c r="A119" s="3015">
        <v>116</v>
      </c>
      <c r="B119" s="3015" t="s">
        <v>3236</v>
      </c>
      <c r="C119" s="3004" t="s">
        <v>4186</v>
      </c>
      <c r="D119" s="3007" t="s">
        <v>4187</v>
      </c>
      <c r="E119" s="3008" t="s">
        <v>4188</v>
      </c>
      <c r="F119" s="3019">
        <v>54.5</v>
      </c>
      <c r="G119" s="3019">
        <v>6.9</v>
      </c>
      <c r="H119" s="3016" t="s">
        <v>1373</v>
      </c>
      <c r="I119" s="3015" t="str">
        <f t="shared" si="10"/>
        <v>旅游用地</v>
      </c>
      <c r="J119" s="3010">
        <f t="shared" si="11"/>
        <v>56156</v>
      </c>
      <c r="K119" s="3007" t="str">
        <f t="shared" si="14"/>
        <v xml:space="preserve">10层 </v>
      </c>
      <c r="L119" s="3007" t="str">
        <f t="shared" si="14"/>
        <v>9层</v>
      </c>
      <c r="N119">
        <f t="shared" ca="1" si="9"/>
        <v>508703</v>
      </c>
    </row>
    <row r="120" spans="1:14" ht="24">
      <c r="A120" s="3015">
        <v>117</v>
      </c>
      <c r="B120" s="3015" t="s">
        <v>3237</v>
      </c>
      <c r="C120" s="3004" t="s">
        <v>3431</v>
      </c>
      <c r="D120" s="3007" t="s">
        <v>4189</v>
      </c>
      <c r="E120" s="3008" t="s">
        <v>4190</v>
      </c>
      <c r="F120" s="3019">
        <v>54</v>
      </c>
      <c r="G120" s="3019">
        <v>6.84</v>
      </c>
      <c r="H120" s="3016" t="s">
        <v>1373</v>
      </c>
      <c r="I120" s="3015" t="str">
        <f t="shared" si="10"/>
        <v>旅游用地</v>
      </c>
      <c r="J120" s="3010">
        <f t="shared" si="11"/>
        <v>56156</v>
      </c>
      <c r="K120" s="3007" t="str">
        <f t="shared" si="14"/>
        <v xml:space="preserve">10层 </v>
      </c>
      <c r="L120" s="3007" t="str">
        <f t="shared" si="14"/>
        <v>9层</v>
      </c>
      <c r="N120">
        <f t="shared" ca="1" si="9"/>
        <v>504036</v>
      </c>
    </row>
    <row r="121" spans="1:14" ht="24">
      <c r="A121" s="3015">
        <v>118</v>
      </c>
      <c r="B121" s="3015" t="s">
        <v>3238</v>
      </c>
      <c r="C121" s="3004" t="s">
        <v>3943</v>
      </c>
      <c r="D121" s="3007" t="s">
        <v>4191</v>
      </c>
      <c r="E121" s="3008" t="s">
        <v>4192</v>
      </c>
      <c r="F121" s="3019">
        <v>54.11</v>
      </c>
      <c r="G121" s="3019">
        <v>6.85</v>
      </c>
      <c r="H121" s="3016" t="s">
        <v>1373</v>
      </c>
      <c r="I121" s="3015" t="str">
        <f t="shared" si="10"/>
        <v>旅游用地</v>
      </c>
      <c r="J121" s="3010">
        <f t="shared" si="11"/>
        <v>56156</v>
      </c>
      <c r="K121" s="3007" t="str">
        <f t="shared" si="14"/>
        <v xml:space="preserve">10层 </v>
      </c>
      <c r="L121" s="3007" t="str">
        <f t="shared" si="14"/>
        <v>9层</v>
      </c>
      <c r="N121">
        <f t="shared" ca="1" si="9"/>
        <v>505063</v>
      </c>
    </row>
    <row r="122" spans="1:14" ht="24">
      <c r="A122" s="3015">
        <v>119</v>
      </c>
      <c r="B122" s="3015" t="s">
        <v>3239</v>
      </c>
      <c r="C122" s="3004" t="s">
        <v>4186</v>
      </c>
      <c r="D122" s="3007" t="s">
        <v>4193</v>
      </c>
      <c r="E122" s="3008" t="s">
        <v>4194</v>
      </c>
      <c r="F122" s="3019">
        <v>69.650000000000006</v>
      </c>
      <c r="G122" s="3019">
        <v>8.82</v>
      </c>
      <c r="H122" s="3016" t="s">
        <v>1373</v>
      </c>
      <c r="I122" s="3015" t="str">
        <f t="shared" si="10"/>
        <v>旅游用地</v>
      </c>
      <c r="J122" s="3010">
        <f t="shared" si="11"/>
        <v>56156</v>
      </c>
      <c r="K122" s="3007" t="str">
        <f t="shared" si="14"/>
        <v xml:space="preserve">10层 </v>
      </c>
      <c r="L122" s="3007" t="str">
        <f t="shared" si="14"/>
        <v>9层</v>
      </c>
      <c r="N122">
        <f t="shared" ca="1" si="9"/>
        <v>650113</v>
      </c>
    </row>
    <row r="123" spans="1:14">
      <c r="A123" s="3385" t="s">
        <v>37</v>
      </c>
      <c r="B123" s="3385"/>
      <c r="C123" s="3385"/>
      <c r="D123" s="3385"/>
      <c r="E123" s="3385"/>
      <c r="F123" s="3020">
        <f>SUM(F4:F122)</f>
        <v>7340.8800000000037</v>
      </c>
      <c r="G123" s="3020">
        <f>SUM(G4:G122)</f>
        <v>929.57999999999993</v>
      </c>
      <c r="H123" s="3015" t="s">
        <v>4195</v>
      </c>
      <c r="I123" s="3015" t="s">
        <v>4195</v>
      </c>
      <c r="J123" s="3007" t="s">
        <v>4195</v>
      </c>
      <c r="K123" s="3007"/>
      <c r="L123" s="3007"/>
      <c r="N123">
        <f ca="1">SUM(N4:N122)</f>
        <v>68519767</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3" t="s">
        <v>1658</v>
      </c>
      <c r="B1" s="3063"/>
      <c r="C1" s="3063"/>
      <c r="D1" s="3063"/>
    </row>
    <row r="2" spans="1:4" ht="18">
      <c r="A2" s="3064" t="s">
        <v>1642</v>
      </c>
      <c r="B2" s="3064"/>
      <c r="C2" s="3064"/>
      <c r="D2" s="3064"/>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64" t="s">
        <v>1648</v>
      </c>
      <c r="B6" s="3064"/>
      <c r="C6" s="3064"/>
      <c r="D6" s="306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5" t="s">
        <v>1651</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57" t="str">
        <f>IF(项目基本情况!B8="抵押","4.本次评估估价师所知悉的法定优先受偿款情况说明如下：","——")</f>
        <v>4.本次评估估价师所知悉的法定优先受偿款情况说明如下：</v>
      </c>
      <c r="B14" s="3062"/>
      <c r="C14" s="3062"/>
      <c r="D14" s="3062"/>
    </row>
    <row r="15" spans="1:4" ht="42" customHeight="1">
      <c r="A15" s="30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7"/>
      <c r="C15" s="3057"/>
      <c r="D15" s="3057"/>
    </row>
    <row r="16" spans="1:4" ht="30" customHeight="1">
      <c r="A16" s="3059" t="s">
        <v>1652</v>
      </c>
      <c r="B16" s="3059"/>
      <c r="C16" s="3059"/>
      <c r="D16" s="3059"/>
    </row>
    <row r="17" spans="1:4" ht="144" customHeight="1">
      <c r="A17" s="3059" t="s">
        <v>1653</v>
      </c>
      <c r="B17" s="3059"/>
      <c r="C17" s="3059"/>
      <c r="D17" s="3059"/>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0"/>
      <c r="C21" s="3060"/>
      <c r="D21" s="3060"/>
    </row>
    <row r="22" spans="1:4" ht="18.75" customHeight="1">
      <c r="A22" s="3061" t="s">
        <v>1654</v>
      </c>
      <c r="B22" s="3061"/>
      <c r="C22" s="3061"/>
      <c r="D22" s="306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8">
        <v>42551</v>
      </c>
      <c r="D31" s="30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1" t="s">
        <v>1665</v>
      </c>
      <c r="B15" s="3066" t="s">
        <v>136</v>
      </c>
      <c r="C15" s="3067"/>
    </row>
    <row r="16" spans="1:7" ht="13.5">
      <c r="A16" s="3072"/>
      <c r="B16" s="3066" t="s">
        <v>69</v>
      </c>
      <c r="C16" s="3067"/>
    </row>
    <row r="17" spans="1:3" ht="13.5">
      <c r="A17" s="3072"/>
      <c r="B17" s="3069" t="s">
        <v>1666</v>
      </c>
      <c r="C17" s="2003" t="s">
        <v>1665</v>
      </c>
    </row>
    <row r="18" spans="1:3" ht="13.5">
      <c r="A18" s="3072"/>
      <c r="B18" s="3069"/>
      <c r="C18" s="2003" t="s">
        <v>1667</v>
      </c>
    </row>
    <row r="19" spans="1:3" ht="13.5">
      <c r="A19" s="3072"/>
      <c r="B19" s="3069"/>
      <c r="C19" s="2003" t="s">
        <v>1668</v>
      </c>
    </row>
    <row r="20" spans="1:3" ht="13.5">
      <c r="A20" s="3073"/>
      <c r="B20" s="3068" t="s">
        <v>1669</v>
      </c>
      <c r="C20" s="3067"/>
    </row>
    <row r="21" spans="1:3" ht="13.5">
      <c r="A21" s="2004" t="s">
        <v>1670</v>
      </c>
      <c r="B21" s="2005"/>
      <c r="C21" s="2006"/>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2003" t="s">
        <v>1676</v>
      </c>
    </row>
    <row r="26" spans="1:3" ht="13.5">
      <c r="A26" s="3070"/>
      <c r="B26" s="3069"/>
      <c r="C26" s="2003" t="s">
        <v>1677</v>
      </c>
    </row>
    <row r="27" spans="1:3" ht="13.5">
      <c r="A27" s="3070"/>
      <c r="B27" s="3069"/>
      <c r="C27" s="2003" t="s">
        <v>1678</v>
      </c>
    </row>
    <row r="28" spans="1:3" ht="13.5">
      <c r="A28" s="3070"/>
      <c r="B28" s="3069"/>
      <c r="C28" s="2003" t="s">
        <v>1679</v>
      </c>
    </row>
    <row r="29" spans="1:3" ht="13.5">
      <c r="A29" s="3070"/>
      <c r="B29" s="3069"/>
      <c r="C29" s="2003" t="s">
        <v>1680</v>
      </c>
    </row>
    <row r="30" spans="1:3" ht="13.5">
      <c r="A30" s="3070"/>
      <c r="B30" s="3069"/>
      <c r="C30" s="2003" t="s">
        <v>1681</v>
      </c>
    </row>
    <row r="31" spans="1:3" ht="13.5">
      <c r="A31" s="3070"/>
      <c r="B31" s="3069"/>
      <c r="C31" s="2003" t="s">
        <v>1682</v>
      </c>
    </row>
    <row r="32" spans="1:3" ht="13.5">
      <c r="A32" s="3070"/>
      <c r="B32" s="3069"/>
      <c r="C32" s="2003" t="s">
        <v>1683</v>
      </c>
    </row>
    <row r="33" spans="1:3" ht="13.5">
      <c r="A33" s="3070"/>
      <c r="B33" s="306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4" t="s">
        <v>843</v>
      </c>
      <c r="B25" s="3074"/>
      <c r="C25" s="3074"/>
      <c r="D25" s="3074"/>
      <c r="E25" s="3074"/>
      <c r="F25" s="3074"/>
      <c r="G25" s="3074"/>
    </row>
    <row r="26" spans="1:7" s="1028" customFormat="1" ht="24" customHeight="1">
      <c r="A26" s="3075" t="s">
        <v>844</v>
      </c>
      <c r="B26" s="3075"/>
      <c r="C26" s="3076"/>
      <c r="D26" s="3077" t="s">
        <v>845</v>
      </c>
      <c r="E26" s="3075"/>
      <c r="F26" s="3075"/>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2019-05-20T01:38:23Z</dcterms:modified>
</cp:coreProperties>
</file>