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14"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面积表" sheetId="82"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2)" sheetId="83" state="hidden" r:id="rId23"/>
    <sheet name="成本法 (3)" sheetId="84" state="hidden" r:id="rId24"/>
    <sheet name="收益法-3"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7" sheetId="79" r:id="rId34"/>
    <sheet name="收益法（汇总）" sheetId="70"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地案例" sheetId="78"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5"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'收益法-3'!$A$1:$AK$69</definedName>
    <definedName name="_xlnm.Print_Area" localSheetId="33">'收益法-7'!$A$1:$AK$69</definedName>
    <definedName name="_xlnm.Print_Area" localSheetId="13">'数据-汇总表'!$A$1:$P$32</definedName>
    <definedName name="八级">区片价!$O$1:$O$40</definedName>
    <definedName name="办公层高" localSheetId="14">'[1]比较法-办公'!$B$119:$M$119</definedName>
    <definedName name="办公层高" localSheetId="42">'[1]比较法-办公'!$B$119:$M$119</definedName>
    <definedName name="办公层高">'比较法-办公'!$B$119:$M$119</definedName>
    <definedName name="办公朝向" localSheetId="14">'[1]比较法-办公'!$B$91:$M$91</definedName>
    <definedName name="办公朝向" localSheetId="42">'[1]比较法-办公'!$B$91:$M$91</definedName>
    <definedName name="办公朝向">'比较法-办公'!$B$91:$M$91</definedName>
    <definedName name="办公道路级别" localSheetId="14">'[1]比较法-办公'!$B$87:$M$87</definedName>
    <definedName name="办公道路级别" localSheetId="42">'[1]比较法-办公'!$B$87:$M$87</definedName>
    <definedName name="办公道路级别">'比较法-办公'!$B$87:$M$87</definedName>
    <definedName name="办公公共部分装修" localSheetId="14">'[1]比较法-办公'!$B$108:$M$108</definedName>
    <definedName name="办公公共部分装修" localSheetId="42">'[1]比较法-办公'!$B$108:$M$108</definedName>
    <definedName name="办公公共部分装修">'比较法-办公'!$B$108:$M$108</definedName>
    <definedName name="办公基础设施水平" localSheetId="14">'[1]比较法-办公'!$B$117:$M$117</definedName>
    <definedName name="办公基础设施水平" localSheetId="42">'[1]比较法-办公'!$B$117:$M$117</definedName>
    <definedName name="办公基础设施水平">'比较法-办公'!$B$117:$M$117</definedName>
    <definedName name="办公集聚程度" localSheetId="14">[1]定义!$M$1:$M$6</definedName>
    <definedName name="办公集聚程度" localSheetId="42">[1]定义!$M$1:$M$6</definedName>
    <definedName name="办公集聚程度">定义!$M$1:$M$6</definedName>
    <definedName name="办公建筑结构" localSheetId="14">'[1]比较法-办公'!$B$106:$M$106</definedName>
    <definedName name="办公建筑结构" localSheetId="42">'[1]比较法-办公'!$B$106:$M$106</definedName>
    <definedName name="办公建筑结构">'比较法-办公'!$B$106:$M$106</definedName>
    <definedName name="办公建筑类型" localSheetId="14">'[1]比较法-办公'!$B$101:$M$101</definedName>
    <definedName name="办公建筑类型" localSheetId="42">'[1]比较法-办公'!$B$101:$M$101</definedName>
    <definedName name="办公建筑类型">'比较法-办公'!$B$101:$M$101</definedName>
    <definedName name="办公交易情况" localSheetId="14">'[1]比较法-办公'!$A$62:$M$62</definedName>
    <definedName name="办公交易情况" localSheetId="42">'[1]比较法-办公'!$A$62:$M$62</definedName>
    <definedName name="办公交易情况">'比较法-办公'!$A$62:$M$62</definedName>
    <definedName name="办公楼层" localSheetId="14">'[1]比较法-办公'!$B$89:$M$89</definedName>
    <definedName name="办公楼层" localSheetId="42">'[1]比较法-办公'!$B$89:$M$89</definedName>
    <definedName name="办公楼层">'比较法-办公'!$B$89:$M$89</definedName>
    <definedName name="办公内部装修" localSheetId="14">'[1]比较法-办公'!$B$123:$M$123</definedName>
    <definedName name="办公内部装修" localSheetId="42">'[1]比较法-办公'!$B$123:$M$123</definedName>
    <definedName name="办公内部装修">'比较法-办公'!$B$123:$M$123</definedName>
    <definedName name="办公物业管理" localSheetId="14">'[1]比较法-办公'!$B$115:$M$115</definedName>
    <definedName name="办公物业管理" localSheetId="42">'[1]比较法-办公'!$B$115:$M$115</definedName>
    <definedName name="办公物业管理">'比较法-办公'!$B$115:$M$115</definedName>
    <definedName name="办公用途" localSheetId="14">'[1]比较法-办公'!$B$64:$M$64</definedName>
    <definedName name="办公用途" localSheetId="42">'[1]比较法-办公'!$B$64:$M$64</definedName>
    <definedName name="办公用途">'比较法-办公'!$B$64:$M$64</definedName>
    <definedName name="仓储公共部分装修" localSheetId="14">'[1]比较法-仓储'!$B$77:$M$77</definedName>
    <definedName name="仓储公共部分装修" localSheetId="42">'[1]比较法-仓储'!$B$77:$M$77</definedName>
    <definedName name="仓储公共部分装修">'比较法-仓储'!$B$77:$M$77</definedName>
    <definedName name="仓储交易情况" localSheetId="14">'[1]比较法-仓储'!$A$49:$M$49</definedName>
    <definedName name="仓储交易情况" localSheetId="42">'[1]比较法-仓储'!$A$49:$M$49</definedName>
    <definedName name="仓储交易情况">'比较法-仓储'!$A$49:$M$49</definedName>
    <definedName name="仓储楼层" localSheetId="14">'[1]比较法-仓储'!$B$69:$M$69</definedName>
    <definedName name="仓储楼层" localSheetId="42">'[1]比较法-仓储'!$B$69:$M$69</definedName>
    <definedName name="仓储楼层">'比较法-仓储'!$B$69:$M$69</definedName>
    <definedName name="仓储物业等级" localSheetId="14">'[1]比较法-仓储'!$B$82:$M$82</definedName>
    <definedName name="仓储物业等级" localSheetId="42">'[1]比较法-仓储'!$B$82:$M$82</definedName>
    <definedName name="仓储物业等级">'比较法-仓储'!$B$82:$M$82</definedName>
    <definedName name="仓储用途" localSheetId="14">'[1]比较法-仓储'!$B$51:$M$51</definedName>
    <definedName name="仓储用途" localSheetId="42">'[1]比较法-仓储'!$B$51:$M$51</definedName>
    <definedName name="仓储用途">'比较法-仓储'!$B$51:$M$51</definedName>
    <definedName name="产业集聚程度" localSheetId="14">[1]定义!$N$1:$N$6</definedName>
    <definedName name="产业集聚程度" localSheetId="42">[1]定义!$N$1:$N$6</definedName>
    <definedName name="产业集聚程度">定义!$N$1:$N$6</definedName>
    <definedName name="车位公共部分装修" localSheetId="14">'[1]比较法-车位'!$B$83:$M$83</definedName>
    <definedName name="车位公共部分装修" localSheetId="42">'[1]比较法-车位'!$B$83:$M$83</definedName>
    <definedName name="车位公共部分装修">'比较法-车位'!$B$83:$M$83</definedName>
    <definedName name="车位交易情况" localSheetId="14">'[1]比较法-车位'!$A$51:$M$51</definedName>
    <definedName name="车位交易情况" localSheetId="42">'[1]比较法-车位'!$A$51:$M$51</definedName>
    <definedName name="车位交易情况">'比较法-车位'!$A$51:$M$51</definedName>
    <definedName name="车位类型" localSheetId="14">'[1]比较法-车位'!$B$93:$M$93</definedName>
    <definedName name="车位类型" localSheetId="42">'[1]比较法-车位'!$B$93:$M$93</definedName>
    <definedName name="车位类型">'比较法-车位'!$B$93:$M$93</definedName>
    <definedName name="车位楼层" localSheetId="14">'[1]比较法-车位'!$B$71:$M$71</definedName>
    <definedName name="车位楼层" localSheetId="42">'[1]比较法-车位'!$B$71:$M$71</definedName>
    <definedName name="车位楼层">'比较法-车位'!$B$71:$M$71</definedName>
    <definedName name="车位配套类型" localSheetId="14">'[1]比较法-车位'!$B$79:$M$79</definedName>
    <definedName name="车位配套类型" localSheetId="42">'[1]比较法-车位'!$B$79:$M$79</definedName>
    <definedName name="车位配套类型">'比较法-车位'!$B$79:$M$79</definedName>
    <definedName name="车位物业等级" localSheetId="14">'[1]比较法-车位'!$B$88:$M$88</definedName>
    <definedName name="车位物业等级" localSheetId="42">'[1]比较法-车位'!$B$88:$M$88</definedName>
    <definedName name="车位物业等级">'比较法-车位'!$B$88:$M$88</definedName>
    <definedName name="车位用途" localSheetId="14">'[1]比较法-车位'!$B$53:$M$53</definedName>
    <definedName name="车位用途" localSheetId="42">'[1]比较法-车位'!$B$53:$M$53</definedName>
    <definedName name="车位用途">'比较法-车位'!$B$53:$M$53</definedName>
    <definedName name="城镇土地纳税等级分级范围" localSheetId="14">'[1]数据-取费表'!$A$53:$A$63</definedName>
    <definedName name="城镇土地纳税等级分级范围" localSheetId="42">'[1]数据-取费表'!$A$53:$A$63</definedName>
    <definedName name="城镇土地纳税等级分级范围">'数据-取费表'!$A$53:$A$63</definedName>
    <definedName name="单价内涵" localSheetId="14">[1]定义!$V$1:$V$3</definedName>
    <definedName name="单价内涵" localSheetId="42">[1]定义!$V$1:$V$3</definedName>
    <definedName name="单价内涵">定义!$V$1:$V$3</definedName>
    <definedName name="地类判定" localSheetId="14">[1]定义!$H$1:$H$9</definedName>
    <definedName name="地类判定" localSheetId="42">[1]定义!$H$1:$H$9</definedName>
    <definedName name="地类判定">定义!$H$1:$H$9</definedName>
    <definedName name="二级">区片价!$I$1:$I$20</definedName>
    <definedName name="二级分类" localSheetId="14">[1]修正!$C$17:$C$39</definedName>
    <definedName name="二级分类" localSheetId="42">[1]修正!$C$17:$C$39</definedName>
    <definedName name="二级分类">修正!$C$17:$C$39</definedName>
    <definedName name="法定最高年限" localSheetId="14">[1]定义!$G$1:$G$4</definedName>
    <definedName name="法定最高年限" localSheetId="42">[1]定义!$G$1:$G$4</definedName>
    <definedName name="法定最高年限">定义!$G$1:$G$4</definedName>
    <definedName name="工业公共部分装修" localSheetId="14">'[1]比较法-工业'!$B$95:$M$95</definedName>
    <definedName name="工业公共部分装修" localSheetId="42">'[1]比较法-工业'!$B$95:$M$95</definedName>
    <definedName name="工业公共部分装修">'比较法-工业'!$B$95:$M$95</definedName>
    <definedName name="工业基础设施水平" localSheetId="14">'[1]比较法-工业'!$B$102:$M$102</definedName>
    <definedName name="工业基础设施水平" localSheetId="42">'[1]比较法-工业'!$B$102:$M$102</definedName>
    <definedName name="工业基础设施水平">'比较法-工业'!$B$102:$M$102</definedName>
    <definedName name="工业建筑结构" localSheetId="14">'[1]比较法-工业'!$B$93:$M$93</definedName>
    <definedName name="工业建筑结构" localSheetId="42">'[1]比较法-工业'!$B$93:$M$93</definedName>
    <definedName name="工业建筑结构">'比较法-工业'!$B$93:$M$93</definedName>
    <definedName name="工业建筑类型" localSheetId="14">'[1]比较法-工业'!$B$88:$M$88</definedName>
    <definedName name="工业建筑类型" localSheetId="42">'[1]比较法-工业'!$B$88:$M$88</definedName>
    <definedName name="工业建筑类型">'比较法-工业'!$B$88:$M$88</definedName>
    <definedName name="工业交易情况" localSheetId="14">'[1]比较法-工业'!$A$55:$M$55</definedName>
    <definedName name="工业交易情况" localSheetId="42">'[1]比较法-工业'!$A$55:$M$55</definedName>
    <definedName name="工业交易情况">'比较法-工业'!$A$55:$M$55</definedName>
    <definedName name="工业内部装修" localSheetId="14">'[1]比较法-工业'!$B$104:$M$104</definedName>
    <definedName name="工业内部装修" localSheetId="42">'[1]比较法-工业'!$B$104:$M$104</definedName>
    <definedName name="工业内部装修">'比较法-工业'!$B$104:$M$104</definedName>
    <definedName name="工业物业管理" localSheetId="14">'[1]比较法-工业'!$B$100:$M$100</definedName>
    <definedName name="工业物业管理" localSheetId="42">'[1]比较法-工业'!$B$100:$M$100</definedName>
    <definedName name="工业物业管理">'比较法-工业'!$B$100:$M$100</definedName>
    <definedName name="工业用途" localSheetId="14">'[1]比较法-工业'!$B$57:$M$57</definedName>
    <definedName name="工业用途" localSheetId="42">'[1]比较法-工业'!$B$57:$M$57</definedName>
    <definedName name="工业用途">'比较法-工业'!$B$57:$M$57</definedName>
    <definedName name="公共配套设施" localSheetId="14">[1]定义!$Q$1:$Q$6</definedName>
    <definedName name="公共配套设施" localSheetId="42">[1]定义!$Q$1:$Q$6</definedName>
    <definedName name="公共配套设施">定义!$Q$1:$Q$6</definedName>
    <definedName name="估价方法" localSheetId="14">[1]定义!$B$1:$B$50</definedName>
    <definedName name="估价方法" localSheetId="42">[1]定义!$B$1:$B$50</definedName>
    <definedName name="估价方法">定义!$B$1:$B$50</definedName>
    <definedName name="环境" localSheetId="14">[1]定义!$S$1:$S$6</definedName>
    <definedName name="环境" localSheetId="42">[1]定义!$S$1:$S$6</definedName>
    <definedName name="环境">定义!$S$1:$S$6</definedName>
    <definedName name="基础设施水平" localSheetId="14">[1]定义!$R$1:$R$6</definedName>
    <definedName name="基础设施水平" localSheetId="42">[1]定义!$R$1:$R$6</definedName>
    <definedName name="基础设施水平">定义!$R$1:$R$6</definedName>
    <definedName name="季度">基准地价修正!$Q$19:$AD$19</definedName>
    <definedName name="价值类型2" localSheetId="14">[1]定义!$B$54:$B$56</definedName>
    <definedName name="价值类型2" localSheetId="42">[1]定义!$B$54:$B$56</definedName>
    <definedName name="价值类型2">定义!$B$54:$B$56</definedName>
    <definedName name="交通便捷度" localSheetId="14">[1]定义!$O$1:$O$6</definedName>
    <definedName name="交通便捷度" localSheetId="42">[1]定义!$O$1:$O$6</definedName>
    <definedName name="交通便捷度">定义!$O$1:$O$6</definedName>
    <definedName name="九级">区片价!$P$1:$P$46</definedName>
    <definedName name="居住社区成熟度" localSheetId="14">[1]定义!$K$1:$K$6</definedName>
    <definedName name="居住社区成熟度" localSheetId="42">[1]定义!$K$1:$K$6</definedName>
    <definedName name="居住社区成熟度">定义!$K$1:$K$6</definedName>
    <definedName name="类别" localSheetId="14">[1]定义!$J$1:$J$3</definedName>
    <definedName name="类别" localSheetId="42">[1]定义!$J$1:$J$3</definedName>
    <definedName name="类别">定义!$J$1:$J$3</definedName>
    <definedName name="临街状况" localSheetId="14">[1]定义!$T$1:$T$5</definedName>
    <definedName name="临街状况" localSheetId="42">[1]定义!$T$1:$T$5</definedName>
    <definedName name="临街状况">定义!$T$1:$T$5</definedName>
    <definedName name="六级">区片价!$M$1:$M$49</definedName>
    <definedName name="内部装修维护情况" localSheetId="14">[1]定义!$U$1:$U$6</definedName>
    <definedName name="内部装修维护情况" localSheetId="42">[1]定义!$U$1:$U$6</definedName>
    <definedName name="内部装修维护情况">定义!$U$1:$U$6</definedName>
    <definedName name="判定" localSheetId="14">[1]定义!$D$1:$D$4</definedName>
    <definedName name="判定" localSheetId="42">[1]定义!$D$1:$D$4</definedName>
    <definedName name="判定">定义!$D$1:$D$4</definedName>
    <definedName name="七级">区片价!$N$1:$N$49</definedName>
    <definedName name="七通一平" localSheetId="14">[1]修正!$A$6:$A$14</definedName>
    <definedName name="七通一平" localSheetId="42">[1]修正!$A$6:$A$14</definedName>
    <definedName name="七通一平">修正!$A$6:$A$14</definedName>
    <definedName name="区域土地利用方向" localSheetId="14">[1]定义!$P$1:$P$6</definedName>
    <definedName name="区域土地利用方向" localSheetId="42">[1]定义!$P$1:$P$6</definedName>
    <definedName name="区域土地利用方向">定义!$P$1:$P$6</definedName>
    <definedName name="三级">区片价!$J$1:$J$21</definedName>
    <definedName name="商业层高" localSheetId="14">'[1]比较法-商业'!$B$116:$M$116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4">[1]定义!$L$1:$L$6</definedName>
    <definedName name="商业繁华度" localSheetId="42">[1]定义!$L$1:$L$6</definedName>
    <definedName name="商业繁华度">定义!$L$1:$L$6</definedName>
    <definedName name="商业公共部分装修" localSheetId="14">'[1]比较法-商业'!$B$107:$M$107</definedName>
    <definedName name="商业公共部分装修" localSheetId="42">'[1]比较法-商业'!$B$107:$M$107</definedName>
    <definedName name="商业公共部分装修">'比较法-商业'!$B$107:$M$107</definedName>
    <definedName name="商业基础设施水平" localSheetId="14">'[1]比较法-商业'!$B$112:$M$112</definedName>
    <definedName name="商业基础设施水平" localSheetId="42">'[1]比较法-商业'!$B$112:$M$112</definedName>
    <definedName name="商业基础设施水平">'比较法-商业'!$B$112:$M$112</definedName>
    <definedName name="商业建筑结构" localSheetId="14">'[1]比较法-商业'!$B$105:$M$105</definedName>
    <definedName name="商业建筑结构" localSheetId="42">'[1]比较法-商业'!$B$105:$M$105</definedName>
    <definedName name="商业建筑结构">'比较法-商业'!$B$105:$M$105</definedName>
    <definedName name="商业交易情况" localSheetId="14">'[1]比较法-商业'!$A$61:$M$61</definedName>
    <definedName name="商业交易情况" localSheetId="42">'[1]比较法-商业'!$A$61:$M$61</definedName>
    <definedName name="商业交易情况">'比较法-商业'!$A$61:$M$61</definedName>
    <definedName name="商业街名称" localSheetId="14">[1]修正!$C$59:$C$119</definedName>
    <definedName name="商业街名称" localSheetId="42">[1]修正!$C$59:$C$119</definedName>
    <definedName name="商业街名称">修正!$C$59:$C$119</definedName>
    <definedName name="商业进深比" localSheetId="14">'[1]比较法-商业'!$B$120:$M$120</definedName>
    <definedName name="商业进深比" localSheetId="42">'[1]比较法-商业'!$B$120:$M$120</definedName>
    <definedName name="商业进深比">'比较法-商业'!$B$120:$M$120</definedName>
    <definedName name="商业类型" localSheetId="14">'[1]比较法-商业'!$B$100:$M$100</definedName>
    <definedName name="商业类型" localSheetId="42">'[1]比较法-商业'!$B$100:$M$100</definedName>
    <definedName name="商业类型">'比较法-商业'!$B$100:$M$100</definedName>
    <definedName name="商业临街状况" localSheetId="14">'[1]比较法-商业'!$B$86:$M$86</definedName>
    <definedName name="商业临街状况" localSheetId="42">'[1]比较法-商业'!$B$86:$M$86</definedName>
    <definedName name="商业临街状况">'比较法-商业'!$B$86:$M$86</definedName>
    <definedName name="商业楼层" localSheetId="14">'[1]比较法-商业'!$B$92:$M$92</definedName>
    <definedName name="商业楼层" localSheetId="42">'[1]比较法-商业'!$B$92:$M$92</definedName>
    <definedName name="商业楼层">'比较法-商业'!$B$92:$M$92</definedName>
    <definedName name="商业内部装修" localSheetId="14">'[1]比较法-商业'!$B$122:$M$122</definedName>
    <definedName name="商业内部装修" localSheetId="42">'[1]比较法-商业'!$B$122:$M$122</definedName>
    <definedName name="商业内部装修">'比较法-商业'!$B$122:$M$122</definedName>
    <definedName name="商业人流量" localSheetId="14">'[1]比较法-商业'!$B$90:$M$90</definedName>
    <definedName name="商业人流量" localSheetId="42">'[1]比较法-商业'!$B$90:$M$90</definedName>
    <definedName name="商业人流量">'比较法-商业'!$B$90:$M$90</definedName>
    <definedName name="商业业态" localSheetId="14">'[1]比较法-商业'!$B$114:$M$114</definedName>
    <definedName name="商业业态" localSheetId="42">'[1]比较法-商业'!$B$114:$M$114</definedName>
    <definedName name="商业业态">'比较法-商业'!$B$114:$M$114</definedName>
    <definedName name="商业用途" localSheetId="14">'[1]比较法-商业'!$B$63:$M$63</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 localSheetId="42">'[1]比较法-仓储'!$B$89:$M$89</definedName>
    <definedName name="是否封闭">'比较法-仓储'!$B$89:$M$89</definedName>
    <definedName name="是否直接入户" localSheetId="14">'[1]比较法-车位'!$B$95:$M$95</definedName>
    <definedName name="是否直接入户" localSheetId="42">'[1]比较法-车位'!$B$95:$M$95</definedName>
    <definedName name="是否直接入户">'比较法-车位'!$B$95:$M$95</definedName>
    <definedName name="四级">区片价!$K$1:$K$28</definedName>
    <definedName name="套工道路等级" localSheetId="14">'[1]土地比较法-工业'!$B$97:$M$97</definedName>
    <definedName name="套工道路等级" localSheetId="42">'[1]土地比较法-工业'!$B$97:$M$97</definedName>
    <definedName name="套工道路等级">'土地比较法-工业'!$B$97:$M$97</definedName>
    <definedName name="套工地质条件" localSheetId="14">'[1]土地比较法-工业'!$B$114:$M$114</definedName>
    <definedName name="套工地质条件" localSheetId="42">'[1]土地比较法-工业'!$B$114:$M$114</definedName>
    <definedName name="套工地质条件">'土地比较法-工业'!$B$114:$M$114</definedName>
    <definedName name="套工交易情况" localSheetId="14">'[1]土地比较法-住宅、综合'!$A$73:$M$73</definedName>
    <definedName name="套工交易情况" localSheetId="42">'[1]土地比较法-住宅、综合'!$A$73:$M$73</definedName>
    <definedName name="套工交易情况">'土地比较法-住宅、综合'!$A$73:$M$73</definedName>
    <definedName name="套工土地级别" localSheetId="14">'[1]土地比较法-工业'!$B$99:$M$99</definedName>
    <definedName name="套工土地级别" localSheetId="42">'[1]土地比较法-工业'!$B$99:$M$99</definedName>
    <definedName name="套工土地级别">'土地比较法-工业'!$B$99:$M$99</definedName>
    <definedName name="套工用途" localSheetId="14">'[1]土地比较法-工业'!$B$70:$M$70</definedName>
    <definedName name="套工用途" localSheetId="42">'[1]土地比较法-工业'!$B$70:$M$70</definedName>
    <definedName name="套工用途">'土地比较法-工业'!$B$70:$M$70</definedName>
    <definedName name="套工宗地开发程度" localSheetId="14">'[1]土地比较法-工业'!$B$112:$M$112</definedName>
    <definedName name="套工宗地开发程度" localSheetId="42">'[1]土地比较法-工业'!$B$112:$M$112</definedName>
    <definedName name="套工宗地开发程度">'土地比较法-工业'!$B$112:$M$112</definedName>
    <definedName name="套工宗地形状" localSheetId="14">'[1]土地比较法-工业'!$B$110:$M$110</definedName>
    <definedName name="套工宗地形状" localSheetId="42">'[1]土地比较法-工业'!$B$110:$M$110</definedName>
    <definedName name="套工宗地形状">'土地比较法-工业'!$B$110:$M$110</definedName>
    <definedName name="套综道路等级" localSheetId="14">'[1]土地比较法-住宅、综合'!$B$106:$M$106</definedName>
    <definedName name="套综道路等级" localSheetId="42">'[1]土地比较法-住宅、综合'!$B$106:$M$106</definedName>
    <definedName name="套综道路等级">'土地比较法-住宅、综合'!$B$106:$M$106</definedName>
    <definedName name="套综工程地质条件" localSheetId="14">'[1]土地比较法-住宅、综合'!$B$125:$M$125</definedName>
    <definedName name="套综工程地质条件" localSheetId="42">'[1]土地比较法-住宅、综合'!$B$125:$M$125</definedName>
    <definedName name="套综工程地质条件">'土地比较法-住宅、综合'!$B$125:$M$125</definedName>
    <definedName name="套综交易情况" localSheetId="14">'[1]土地比较法-住宅、综合'!$A$73:$M$73</definedName>
    <definedName name="套综交易情况" localSheetId="42">'[1]土地比较法-住宅、综合'!$A$73:$M$73</definedName>
    <definedName name="套综交易情况">'土地比较法-住宅、综合'!$A$73:$M$73</definedName>
    <definedName name="套综临街宽度及深度" localSheetId="14">'[1]土地比较法-住宅、综合'!$B$121:$M$121</definedName>
    <definedName name="套综临街宽度及深度" localSheetId="42">'[1]土地比较法-住宅、综合'!$B$121:$M$121</definedName>
    <definedName name="套综临街宽度及深度">'土地比较法-住宅、综合'!$B$121:$M$121</definedName>
    <definedName name="套综土地级别" localSheetId="14">'[1]土地比较法-住宅、综合'!$B$108:$M$108</definedName>
    <definedName name="套综土地级别" localSheetId="42">'[1]土地比较法-住宅、综合'!$B$108:$M$108</definedName>
    <definedName name="套综土地级别">'土地比较法-住宅、综合'!$B$108:$M$108</definedName>
    <definedName name="套综用途" localSheetId="14">'[1]土地比较法-住宅、综合'!$B$75:$M$75</definedName>
    <definedName name="套综用途" localSheetId="42">'[1]土地比较法-住宅、综合'!$B$75:$M$75</definedName>
    <definedName name="套综用途">'土地比较法-住宅、综合'!$B$75:$M$75</definedName>
    <definedName name="套综宗地内开发程度" localSheetId="14">'[1]土地比较法-住宅、综合'!$B$123:$M$123</definedName>
    <definedName name="套综宗地内开发程度" localSheetId="42">'[1]土地比较法-住宅、综合'!$B$123:$M$123</definedName>
    <definedName name="套综宗地内开发程度">'土地比较法-住宅、综合'!$B$123:$M$123</definedName>
    <definedName name="套综宗地形状" localSheetId="14">'[1]土地比较法-住宅、综合'!$B$119:$M$119</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14">[1]定义!$C$1:$C$14</definedName>
    <definedName name="土地级别" localSheetId="42">[1]定义!$C$1:$C$14</definedName>
    <definedName name="土地级别">定义!$C$1:$C$14</definedName>
    <definedName name="土地利用方向">定义!$P$1:$P$6</definedName>
    <definedName name="土地年限区间" localSheetId="14">[1]定义!$I$1:$I$8</definedName>
    <definedName name="土地年限区间" localSheetId="42">[1]定义!$I$1:$I$8</definedName>
    <definedName name="土地年限区间">定义!$I$1:$I$8</definedName>
    <definedName name="位置" localSheetId="14">[1]定义!$E$2:$E$4</definedName>
    <definedName name="位置" localSheetId="42">[1]定义!$E$2:$E$4</definedName>
    <definedName name="位置">定义!$E$2:$E$4</definedName>
    <definedName name="五等判定" localSheetId="14">[1]定义!$W$1:$W$6</definedName>
    <definedName name="五等判定" localSheetId="42">[1]定义!$W$1:$W$6</definedName>
    <definedName name="五等判定">定义!$W$1:$W$6</definedName>
    <definedName name="五级">区片价!$L$1:$L$35</definedName>
    <definedName name="项目类型" localSheetId="14">'[1]数据-汇总表'!$C$17:$C$26</definedName>
    <definedName name="项目类型" localSheetId="42">'[1]数据-汇总表'!$C$17:$C$26</definedName>
    <definedName name="项目类型">'数据-汇总表'!$C$17:$C$26</definedName>
    <definedName name="写字楼等级" localSheetId="14">'[1]比较法-办公'!$B$113:$M$113</definedName>
    <definedName name="写字楼等级" localSheetId="42">'[1]比较法-办公'!$B$113:$M$113</definedName>
    <definedName name="写字楼等级">'比较法-办公'!$B$113:$M$113</definedName>
    <definedName name="一级">区片价!$H$1:$H$6</definedName>
    <definedName name="一修多修正项2" localSheetId="14">[1]典型户型修正!$5:$5</definedName>
    <definedName name="一修多修正项2" localSheetId="42">[1]典型户型修正!$5:$5</definedName>
    <definedName name="一修多修正项2">典型户型修正!$5:$5</definedName>
    <definedName name="一修多修正项3" localSheetId="14">[1]典型户型修正!$7:$7</definedName>
    <definedName name="一修多修正项3" localSheetId="42">[1]典型户型修正!$7:$7</definedName>
    <definedName name="一修多修正项3">典型户型修正!$7:$7</definedName>
    <definedName name="一修多修正项4" localSheetId="14">[1]典型户型修正!$9:$9</definedName>
    <definedName name="一修多修正项4" localSheetId="42">[1]典型户型修正!$9:$9</definedName>
    <definedName name="一修多修正项4">典型户型修正!$9:$9</definedName>
    <definedName name="一修多修正项5" localSheetId="14">[1]典型户型修正!$11:$11</definedName>
    <definedName name="一修多修正项5" localSheetId="42">[1]典型户型修正!$11:$11</definedName>
    <definedName name="一修多修正项5">典型户型修正!$11:$11</definedName>
    <definedName name="一修多修正项6" localSheetId="14">[1]典型户型修正!$13:$13</definedName>
    <definedName name="一修多修正项6" localSheetId="42">[1]典型户型修正!$13:$13</definedName>
    <definedName name="一修多修正项6">典型户型修正!$13:$13</definedName>
    <definedName name="一修多修正项7" localSheetId="14">[1]典型户型修正!$15:$15</definedName>
    <definedName name="一修多修正项7" localSheetId="42">[1]典型户型修正!$15:$15</definedName>
    <definedName name="一修多修正项7">典型户型修正!$15:$15</definedName>
    <definedName name="一修多修正项8" localSheetId="14">[1]典型户型修正!$17:$17</definedName>
    <definedName name="一修多修正项8" localSheetId="42">[1]典型户型修正!$17:$17</definedName>
    <definedName name="一修多修正项8">典型户型修正!$17:$17</definedName>
    <definedName name="用途明细" localSheetId="14">[1]定义!$A$1:$A$50</definedName>
    <definedName name="用途明细" localSheetId="42">[1]定义!$A$1:$A$50</definedName>
    <definedName name="用途明细">定义!$A$1:$A$50</definedName>
    <definedName name="有无电梯" localSheetId="14">'[1]比较法-仓储'!$B$84:$M$84</definedName>
    <definedName name="有无电梯" localSheetId="42">'[1]比较法-仓储'!$B$84:$M$84</definedName>
    <definedName name="有无电梯">'比较法-仓储'!$B$84:$M$84</definedName>
    <definedName name="主用途" localSheetId="14">[1]定义!$F$1:$F$10</definedName>
    <definedName name="主用途" localSheetId="42">[1]定义!$F$1:$F$10</definedName>
    <definedName name="主用途">定义!$F$1:$F$10</definedName>
    <definedName name="住宅朝向" localSheetId="14">'[1]比较法-住宅'!$B$88:$M$88</definedName>
    <definedName name="住宅朝向" localSheetId="42">'[1]比较法-住宅'!$B$88:$M$88</definedName>
    <definedName name="住宅朝向">'比较法-住宅'!$B$88:$M$88</definedName>
    <definedName name="住宅房型" localSheetId="14">'[1]比较法-住宅'!$B$118:$M$118</definedName>
    <definedName name="住宅房型" localSheetId="42">'[1]比较法-住宅'!$B$118:$M$118</definedName>
    <definedName name="住宅房型">'比较法-住宅'!$B$118:$M$118</definedName>
    <definedName name="住宅公共部分装修" localSheetId="14">'[1]比较法-住宅'!$B$109:$M$109</definedName>
    <definedName name="住宅公共部分装修" localSheetId="42">'[1]比较法-住宅'!$B$109:$M$109</definedName>
    <definedName name="住宅公共部分装修">'比较法-住宅'!$B$109:$M$109</definedName>
    <definedName name="住宅基础设施水平" localSheetId="14">'[1]比较法-住宅'!$B$116:$M$116</definedName>
    <definedName name="住宅基础设施水平" localSheetId="42">'[1]比较法-住宅'!$B$116:$M$116</definedName>
    <definedName name="住宅基础设施水平">'比较法-住宅'!$B$116:$M$116</definedName>
    <definedName name="住宅建筑结构" localSheetId="14">'[1]比较法-住宅'!$B$105:$M$105</definedName>
    <definedName name="住宅建筑结构" localSheetId="42">'[1]比较法-住宅'!$B$105:$M$105</definedName>
    <definedName name="住宅建筑结构">'比较法-住宅'!$B$105:$M$105</definedName>
    <definedName name="住宅建筑类型" localSheetId="14">'[1]比较法-住宅'!$B$100:$M$100</definedName>
    <definedName name="住宅建筑类型" localSheetId="42">'[1]比较法-住宅'!$B$100:$M$100</definedName>
    <definedName name="住宅建筑类型">'比较法-住宅'!$B$100:$M$100</definedName>
    <definedName name="住宅建筑品质" localSheetId="14">'[1]比较法-住宅'!$B$107:$M$107</definedName>
    <definedName name="住宅建筑品质" localSheetId="42">'[1]比较法-住宅'!$B$107:$M$107</definedName>
    <definedName name="住宅建筑品质">'比较法-住宅'!$B$107:$M$107</definedName>
    <definedName name="住宅交易情况" localSheetId="14">'[1]比较法-住宅'!$A$61:$M$61</definedName>
    <definedName name="住宅交易情况" localSheetId="42">'[1]比较法-住宅'!$A$61:$M$61</definedName>
    <definedName name="住宅交易情况">'比较法-住宅'!$A$61:$M$61</definedName>
    <definedName name="住宅楼层" localSheetId="14">'[1]比较法-住宅'!$B$86:$M$86</definedName>
    <definedName name="住宅楼层" localSheetId="42">'[1]比较法-住宅'!$B$86:$M$86</definedName>
    <definedName name="住宅楼层">'比较法-住宅'!$B$86:$M$86</definedName>
    <definedName name="住宅内部装修" localSheetId="14">'[1]比较法-住宅'!$B$122:$M$122</definedName>
    <definedName name="住宅内部装修" localSheetId="42">'[1]比较法-住宅'!$B$122:$M$122</definedName>
    <definedName name="住宅内部装修">'比较法-住宅'!$B$122:$M$122</definedName>
    <definedName name="住宅物业管理" localSheetId="14">'[1]比较法-住宅'!$B$114:$M$114</definedName>
    <definedName name="住宅物业管理" localSheetId="42">'[1]比较法-住宅'!$B$114:$M$114</definedName>
    <definedName name="住宅物业管理">'比较法-住宅'!$B$114:$M$114</definedName>
    <definedName name="住宅用途" localSheetId="14">'[1]比较法-住宅'!$B$63:$M$63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4">[1]估价师及机构信息!$A$3:$A$24</definedName>
    <definedName name="注册房地产估价师" localSheetId="42">[1]估价师及机构信息!$A$3:$A$24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F6" i="82" l="1"/>
  <c r="B9" i="82"/>
  <c r="F11" i="85" l="1"/>
  <c r="G11" i="85"/>
  <c r="I11" i="85" s="1"/>
  <c r="I9" i="85"/>
  <c r="I10" i="85"/>
  <c r="I8" i="85"/>
  <c r="F38" i="84" l="1"/>
  <c r="E37" i="84"/>
  <c r="F36" i="84"/>
  <c r="F35" i="84"/>
  <c r="F21" i="84"/>
  <c r="C40" i="84" s="1"/>
  <c r="F20" i="84"/>
  <c r="E10" i="84"/>
  <c r="E9" i="84"/>
  <c r="C8" i="84"/>
  <c r="F7" i="84"/>
  <c r="F38" i="83"/>
  <c r="E37" i="83"/>
  <c r="F36" i="83"/>
  <c r="F35" i="83"/>
  <c r="F21" i="83"/>
  <c r="C21" i="83" s="1"/>
  <c r="F20" i="83"/>
  <c r="E10" i="83"/>
  <c r="E9" i="83"/>
  <c r="C8" i="83"/>
  <c r="F7" i="83"/>
  <c r="G30" i="82"/>
  <c r="L9" i="82"/>
  <c r="L8" i="82"/>
  <c r="J8" i="82"/>
  <c r="F8" i="82" s="1"/>
  <c r="C8" i="82"/>
  <c r="E7" i="82"/>
  <c r="E12" i="82" s="1"/>
  <c r="C7" i="82"/>
  <c r="B11" i="82"/>
  <c r="J6" i="82"/>
  <c r="C6" i="82"/>
  <c r="F3" i="82"/>
  <c r="K24" i="82" s="1"/>
  <c r="C3" i="82"/>
  <c r="C9" i="82" s="1"/>
  <c r="E2" i="84"/>
  <c r="E2" i="83"/>
  <c r="C21" i="84" l="1"/>
  <c r="C40" i="83"/>
  <c r="E9" i="82"/>
  <c r="G11" i="82"/>
  <c r="D3" i="82"/>
  <c r="F7" i="82"/>
  <c r="K25" i="82" s="1"/>
  <c r="F9" i="82" l="1"/>
  <c r="Q72" i="79"/>
  <c r="Q59" i="79"/>
  <c r="K59" i="79"/>
  <c r="P61" i="79" s="1"/>
  <c r="F59" i="79"/>
  <c r="Q58" i="79"/>
  <c r="Q51" i="79"/>
  <c r="J50" i="79"/>
  <c r="M47" i="79"/>
  <c r="D46" i="79"/>
  <c r="F33" i="79"/>
  <c r="F61" i="79" s="1"/>
  <c r="F31" i="79"/>
  <c r="F23" i="79"/>
  <c r="D24" i="79" s="1"/>
  <c r="D22" i="79"/>
  <c r="F21" i="79"/>
  <c r="F20" i="79"/>
  <c r="M19" i="79"/>
  <c r="F18" i="79"/>
  <c r="M17" i="79"/>
  <c r="F17" i="79"/>
  <c r="F15" i="79"/>
  <c r="F20" i="6"/>
  <c r="F19" i="6"/>
  <c r="D23" i="79" l="1"/>
  <c r="P74" i="79"/>
  <c r="C15" i="74" l="1"/>
  <c r="B15" i="74"/>
  <c r="N22" i="1" l="1"/>
  <c r="E38" i="39"/>
  <c r="I38" i="39"/>
  <c r="G38" i="39"/>
  <c r="M9" i="78"/>
  <c r="G9" i="78"/>
  <c r="M8" i="78"/>
  <c r="G8" i="78"/>
  <c r="M7" i="78"/>
  <c r="G7" i="78"/>
  <c r="M6" i="78"/>
  <c r="G6" i="78"/>
  <c r="M5" i="78"/>
  <c r="I46" i="39" s="1"/>
  <c r="G5" i="78"/>
  <c r="M4" i="78"/>
  <c r="G46" i="39" s="1"/>
  <c r="G4" i="78"/>
  <c r="M3" i="78"/>
  <c r="G3" i="78"/>
  <c r="M2" i="78"/>
  <c r="E46" i="39" s="1"/>
  <c r="G2" i="78"/>
  <c r="A3" i="3"/>
  <c r="E23" i="78" l="1"/>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N46" i="71"/>
  <c r="B47" i="71" s="1"/>
  <c r="B48" i="71"/>
  <c r="B49" i="71" s="1"/>
  <c r="S49" i="71" s="1"/>
  <c r="D46" i="71"/>
  <c r="Q45" i="71"/>
  <c r="P45" i="71"/>
  <c r="O45" i="71"/>
  <c r="N45" i="71"/>
  <c r="Q44" i="71"/>
  <c r="P44" i="71"/>
  <c r="O44" i="71"/>
  <c r="N44" i="71"/>
  <c r="Q43" i="71"/>
  <c r="P43" i="71"/>
  <c r="O43" i="71"/>
  <c r="N43" i="71"/>
  <c r="Q42" i="71"/>
  <c r="F43" i="71"/>
  <c r="F44" i="71" s="1"/>
  <c r="F45" i="71"/>
  <c r="V45" i="71" s="1"/>
  <c r="P42" i="71"/>
  <c r="E43" i="71" s="1"/>
  <c r="E44" i="71" s="1"/>
  <c r="O42" i="71"/>
  <c r="C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E19" i="71"/>
  <c r="E20" i="71"/>
  <c r="E21" i="71" s="1"/>
  <c r="U21" i="71" s="1"/>
  <c r="C15" i="71"/>
  <c r="C16" i="71" s="1"/>
  <c r="X15" i="71"/>
  <c r="X16" i="71"/>
  <c r="X17" i="71"/>
  <c r="Y18" i="71"/>
  <c r="Z18" i="71" s="1"/>
  <c r="AA19" i="71"/>
  <c r="X21" i="71"/>
  <c r="AA21" i="71"/>
  <c r="Y22" i="71"/>
  <c r="Z22" i="71" s="1"/>
  <c r="X23" i="71"/>
  <c r="AA23" i="71"/>
  <c r="F37" i="71"/>
  <c r="V37" i="71" s="1"/>
  <c r="C13" i="71"/>
  <c r="Y12" i="71"/>
  <c r="Z12" i="71" s="1"/>
  <c r="X11" i="71"/>
  <c r="C28" i="71"/>
  <c r="C29" i="71" s="1"/>
  <c r="C32" i="71"/>
  <c r="D32" i="71" s="1"/>
  <c r="D31" i="71"/>
  <c r="P13" i="71"/>
  <c r="E40" i="71"/>
  <c r="E41" i="71" s="1"/>
  <c r="U41" i="71"/>
  <c r="E45" i="71"/>
  <c r="U45" i="71" s="1"/>
  <c r="E48" i="71"/>
  <c r="E49" i="71" s="1"/>
  <c r="U49" i="71" s="1"/>
  <c r="Q50" i="71"/>
  <c r="U53" i="71"/>
  <c r="E52" i="71"/>
  <c r="Q13" i="71"/>
  <c r="D39" i="71"/>
  <c r="Q52" i="71"/>
  <c r="T53" i="71"/>
  <c r="O53" i="71"/>
  <c r="D53" i="71"/>
  <c r="C52" i="71"/>
  <c r="Q53" i="71"/>
  <c r="E56" i="71"/>
  <c r="E55" i="71" s="1"/>
  <c r="C60" i="71"/>
  <c r="E60" i="71"/>
  <c r="E59" i="71" s="1"/>
  <c r="D61" i="71"/>
  <c r="E64" i="71"/>
  <c r="E63" i="71" s="1"/>
  <c r="C68" i="71"/>
  <c r="C72" i="71"/>
  <c r="C71" i="71" s="1"/>
  <c r="D71" i="71" s="1"/>
  <c r="C12" i="71"/>
  <c r="F13" i="71"/>
  <c r="F12" i="71" s="1"/>
  <c r="F11" i="71" s="1"/>
  <c r="AB11" i="71"/>
  <c r="E13" i="71"/>
  <c r="E12" i="71"/>
  <c r="AA13" i="71"/>
  <c r="C51" i="71"/>
  <c r="O52" i="71"/>
  <c r="D52" i="71"/>
  <c r="D68" i="71"/>
  <c r="C67" i="71"/>
  <c r="D67" i="71"/>
  <c r="D60" i="71"/>
  <c r="C59" i="71"/>
  <c r="D59" i="71" s="1"/>
  <c r="D72" i="71"/>
  <c r="D40" i="71"/>
  <c r="P52" i="71"/>
  <c r="E51" i="71"/>
  <c r="P50" i="71" s="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F94" i="40"/>
  <c r="H25" i="40"/>
  <c r="G94" i="40"/>
  <c r="J25" i="40"/>
  <c r="F103" i="39"/>
  <c r="H29" i="39"/>
  <c r="AB29" i="39" s="1"/>
  <c r="G103" i="39"/>
  <c r="J29" i="39"/>
  <c r="AC29" i="39" s="1"/>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C18" i="36"/>
  <c r="W18" i="36"/>
  <c r="AB21" i="37"/>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AZ548" i="3" s="1"/>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E97" i="39" s="1"/>
  <c r="J23" i="39" s="1"/>
  <c r="AC23" i="39" s="1"/>
  <c r="D95" i="39"/>
  <c r="E95" i="39" s="1"/>
  <c r="F95" i="39"/>
  <c r="G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D73" i="37"/>
  <c r="E73" i="37"/>
  <c r="F73" i="37" s="1"/>
  <c r="G73" i="37" s="1"/>
  <c r="D71" i="37"/>
  <c r="H15" i="37"/>
  <c r="AB15" i="37"/>
  <c r="B68" i="37"/>
  <c r="H14" i="37"/>
  <c r="AB14" i="37" s="1"/>
  <c r="B66" i="37"/>
  <c r="H13" i="37" s="1"/>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B75" i="35"/>
  <c r="J24" i="35"/>
  <c r="AC24" i="35" s="1"/>
  <c r="B73" i="35"/>
  <c r="H23" i="35" s="1"/>
  <c r="U23" i="35" s="1"/>
  <c r="B57" i="35"/>
  <c r="B61" i="35"/>
  <c r="F13" i="35" s="1"/>
  <c r="B59" i="35"/>
  <c r="B131" i="34"/>
  <c r="H47" i="34" s="1"/>
  <c r="B129" i="34"/>
  <c r="B127" i="34"/>
  <c r="H45" i="34" s="1"/>
  <c r="AB45" i="34" s="1"/>
  <c r="B99" i="34"/>
  <c r="B97" i="34"/>
  <c r="J31" i="34" s="1"/>
  <c r="B95" i="34"/>
  <c r="B93" i="34"/>
  <c r="F29" i="34" s="1"/>
  <c r="B75" i="34"/>
  <c r="B73" i="34"/>
  <c r="B71" i="34"/>
  <c r="B130" i="33"/>
  <c r="B128" i="33"/>
  <c r="B126" i="33"/>
  <c r="H44" i="33" s="1"/>
  <c r="AB44" i="33" s="1"/>
  <c r="B98" i="33"/>
  <c r="B96" i="33"/>
  <c r="H30" i="33" s="1"/>
  <c r="U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AB46" i="21" s="1"/>
  <c r="B128" i="21"/>
  <c r="J45" i="21"/>
  <c r="W45" i="21" s="1"/>
  <c r="B126" i="21"/>
  <c r="J44" i="21" s="1"/>
  <c r="B98" i="21"/>
  <c r="H31" i="21"/>
  <c r="AB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AB43" i="21" s="1"/>
  <c r="F38" i="21"/>
  <c r="F36" i="21"/>
  <c r="S36" i="21" s="1"/>
  <c r="F39" i="21"/>
  <c r="AA39" i="21" s="1"/>
  <c r="J40" i="21"/>
  <c r="H35" i="21"/>
  <c r="J8" i="21"/>
  <c r="AC8" i="21" s="1"/>
  <c r="H8" i="21"/>
  <c r="H10" i="21"/>
  <c r="H39" i="21"/>
  <c r="U39" i="21" s="1"/>
  <c r="J34" i="21"/>
  <c r="H36" i="21"/>
  <c r="U36" i="21" s="1"/>
  <c r="F35" i="21"/>
  <c r="J10" i="21"/>
  <c r="AC10" i="21" s="1"/>
  <c r="H26" i="21"/>
  <c r="AB19" i="21"/>
  <c r="J19" i="21"/>
  <c r="W19" i="21"/>
  <c r="J26" i="21"/>
  <c r="W26" i="21"/>
  <c r="F26" i="21"/>
  <c r="S26" i="21"/>
  <c r="AB41" i="21"/>
  <c r="S41" i="21"/>
  <c r="AA41" i="21"/>
  <c r="F45" i="39"/>
  <c r="J45" i="39"/>
  <c r="J44" i="39"/>
  <c r="AC44" i="39" s="1"/>
  <c r="F36" i="39"/>
  <c r="S36" i="39" s="1"/>
  <c r="H36" i="39"/>
  <c r="J35" i="39"/>
  <c r="AC35" i="39" s="1"/>
  <c r="F35" i="39"/>
  <c r="AA35" i="39" s="1"/>
  <c r="J36" i="39"/>
  <c r="U9" i="39"/>
  <c r="W25"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U33" i="33"/>
  <c r="S40" i="33"/>
  <c r="W39" i="33"/>
  <c r="H39" i="37"/>
  <c r="AB39" i="37"/>
  <c r="S27" i="35"/>
  <c r="F11" i="40"/>
  <c r="H11" i="40"/>
  <c r="AB11" i="40" s="1"/>
  <c r="W8" i="40"/>
  <c r="AC40" i="40"/>
  <c r="AA9" i="40"/>
  <c r="AC9" i="40"/>
  <c r="U9" i="40"/>
  <c r="S34" i="40"/>
  <c r="S40" i="40"/>
  <c r="U34" i="40"/>
  <c r="U40" i="40"/>
  <c r="F42" i="39"/>
  <c r="AA42" i="39"/>
  <c r="F41" i="39"/>
  <c r="S41" i="39" s="1"/>
  <c r="H40" i="39"/>
  <c r="H39" i="39"/>
  <c r="U39" i="39" s="1"/>
  <c r="S34" i="39"/>
  <c r="H34" i="39"/>
  <c r="U34" i="39" s="1"/>
  <c r="E109" i="39"/>
  <c r="H31" i="39"/>
  <c r="AB31" i="39" s="1"/>
  <c r="F31" i="39"/>
  <c r="AA31" i="39" s="1"/>
  <c r="J23" i="40"/>
  <c r="F21" i="40"/>
  <c r="AA21" i="40" s="1"/>
  <c r="J21" i="40"/>
  <c r="W21" i="40" s="1"/>
  <c r="H42" i="39"/>
  <c r="J34" i="39"/>
  <c r="AC34" i="39" s="1"/>
  <c r="F109" i="39"/>
  <c r="G109" i="39" s="1"/>
  <c r="H109" i="39"/>
  <c r="I109" i="39" s="1"/>
  <c r="J109" i="39" s="1"/>
  <c r="K109" i="39" s="1"/>
  <c r="L109" i="39" s="1"/>
  <c r="M109" i="39" s="1"/>
  <c r="J31" i="39"/>
  <c r="AC31" i="39" s="1"/>
  <c r="H27" i="39"/>
  <c r="U27" i="39" s="1"/>
  <c r="F27" i="39"/>
  <c r="S27" i="39" s="1"/>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H16" i="36"/>
  <c r="AB16" i="36" s="1"/>
  <c r="E85" i="36"/>
  <c r="F85" i="36" s="1"/>
  <c r="G85" i="36" s="1"/>
  <c r="H85" i="36" s="1"/>
  <c r="I85" i="36" s="1"/>
  <c r="J85" i="36" s="1"/>
  <c r="K85" i="36" s="1"/>
  <c r="L85" i="36" s="1"/>
  <c r="M85" i="36" s="1"/>
  <c r="J29" i="36"/>
  <c r="AC29" i="36"/>
  <c r="F24" i="36"/>
  <c r="AA24" i="36" s="1"/>
  <c r="F34" i="36"/>
  <c r="S10" i="36"/>
  <c r="AB8" i="36"/>
  <c r="S8" i="36"/>
  <c r="U8" i="35"/>
  <c r="F14" i="35"/>
  <c r="F23" i="35"/>
  <c r="J32" i="35"/>
  <c r="J16" i="35"/>
  <c r="H16" i="35"/>
  <c r="F16" i="35"/>
  <c r="S16" i="35" s="1"/>
  <c r="H14" i="35"/>
  <c r="AB14" i="35" s="1"/>
  <c r="J29" i="35"/>
  <c r="AC29" i="35" s="1"/>
  <c r="H33" i="35"/>
  <c r="AB33" i="35"/>
  <c r="AC8" i="35"/>
  <c r="J20" i="35"/>
  <c r="W20" i="35" s="1"/>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F23" i="40"/>
  <c r="F17" i="40"/>
  <c r="AA17" i="40" s="1"/>
  <c r="J17" i="40"/>
  <c r="W17" i="40" s="1"/>
  <c r="F15" i="40"/>
  <c r="H15" i="40"/>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H37" i="34"/>
  <c r="U37" i="34" s="1"/>
  <c r="H25" i="34"/>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H46" i="34"/>
  <c r="U46" i="34" s="1"/>
  <c r="F46" i="34"/>
  <c r="AA46" i="34" s="1"/>
  <c r="J46" i="34"/>
  <c r="H11" i="35"/>
  <c r="U11" i="35" s="1"/>
  <c r="J11" i="35"/>
  <c r="F11" i="35"/>
  <c r="S11" i="35" s="1"/>
  <c r="J26" i="36"/>
  <c r="H28" i="36"/>
  <c r="H32" i="36"/>
  <c r="J32" i="36"/>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H40" i="37"/>
  <c r="U40" i="37" s="1"/>
  <c r="J40" i="37"/>
  <c r="AC40" i="37" s="1"/>
  <c r="F40" i="37"/>
  <c r="AC12" i="40"/>
  <c r="W12" i="40"/>
  <c r="H14" i="33"/>
  <c r="U14" i="33" s="1"/>
  <c r="F14" i="33"/>
  <c r="J14" i="33"/>
  <c r="W14" i="33" s="1"/>
  <c r="AB30" i="33"/>
  <c r="J30" i="33"/>
  <c r="W30" i="33" s="1"/>
  <c r="J44" i="33"/>
  <c r="F44" i="33"/>
  <c r="J46" i="33"/>
  <c r="F46" i="33"/>
  <c r="H46" i="33"/>
  <c r="AB46" i="33" s="1"/>
  <c r="H13" i="34"/>
  <c r="U13" i="34" s="1"/>
  <c r="J13" i="34"/>
  <c r="W13" i="34" s="1"/>
  <c r="F13" i="34"/>
  <c r="J29" i="34"/>
  <c r="W29" i="34" s="1"/>
  <c r="S29" i="34"/>
  <c r="AC31" i="34"/>
  <c r="U45" i="34"/>
  <c r="U47" i="34"/>
  <c r="S13" i="35"/>
  <c r="W25" i="35"/>
  <c r="AC35" i="35"/>
  <c r="J25" i="36"/>
  <c r="W25" i="36"/>
  <c r="F25" i="36"/>
  <c r="S25" i="36"/>
  <c r="H25" i="36"/>
  <c r="AB25" i="36"/>
  <c r="AB13" i="37"/>
  <c r="F28" i="37"/>
  <c r="AA28" i="37"/>
  <c r="J28" i="37"/>
  <c r="AC28" i="37"/>
  <c r="H28" i="37"/>
  <c r="U28" i="37"/>
  <c r="H38" i="37"/>
  <c r="AB38" i="37"/>
  <c r="J38" i="37"/>
  <c r="AC38" i="37"/>
  <c r="F38" i="37"/>
  <c r="S38" i="37"/>
  <c r="F43" i="39"/>
  <c r="AA43" i="39"/>
  <c r="H43" i="39"/>
  <c r="J14" i="39"/>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s="1"/>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AZ512" i="3" s="1"/>
  <c r="BL506" i="3"/>
  <c r="BL502" i="3"/>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4" i="3"/>
  <c r="AZ542" i="3"/>
  <c r="BA540" i="3"/>
  <c r="AZ540" i="3"/>
  <c r="BA538" i="3"/>
  <c r="AZ538" i="3"/>
  <c r="BA536" i="3"/>
  <c r="AZ536" i="3"/>
  <c r="BA534" i="3"/>
  <c r="AZ534" i="3"/>
  <c r="BA532" i="3"/>
  <c r="AZ532" i="3"/>
  <c r="BA530" i="3"/>
  <c r="BA528" i="3"/>
  <c r="AZ528" i="3" s="1"/>
  <c r="BA526" i="3"/>
  <c r="AZ526" i="3" s="1"/>
  <c r="BA524" i="3"/>
  <c r="AZ524" i="3" s="1"/>
  <c r="BA522" i="3"/>
  <c r="BA520" i="3"/>
  <c r="BA518" i="3"/>
  <c r="BA516" i="3"/>
  <c r="AZ516" i="3" s="1"/>
  <c r="BA514" i="3"/>
  <c r="AZ514" i="3" s="1"/>
  <c r="BA512" i="3"/>
  <c r="BA510" i="3"/>
  <c r="BA508" i="3"/>
  <c r="BA506" i="3"/>
  <c r="AZ506" i="3" s="1"/>
  <c r="BA504" i="3"/>
  <c r="AZ504" i="3"/>
  <c r="BA502" i="3"/>
  <c r="BA500" i="3"/>
  <c r="BA498" i="3"/>
  <c r="AZ498" i="3"/>
  <c r="BA496" i="3"/>
  <c r="BA494" i="3"/>
  <c r="BA581" i="3"/>
  <c r="BA579" i="3"/>
  <c r="AZ579" i="3" s="1"/>
  <c r="BA577" i="3"/>
  <c r="BA575" i="3"/>
  <c r="AZ575" i="3" s="1"/>
  <c r="BA571" i="3"/>
  <c r="BA567" i="3"/>
  <c r="AZ567" i="3" s="1"/>
  <c r="BA565" i="3"/>
  <c r="BA563" i="3"/>
  <c r="BA561" i="3"/>
  <c r="BA559" i="3"/>
  <c r="AZ559" i="3" s="1"/>
  <c r="BA553" i="3"/>
  <c r="BA549" i="3"/>
  <c r="BA547" i="3"/>
  <c r="BA543" i="3"/>
  <c r="BA541" i="3"/>
  <c r="BA539" i="3"/>
  <c r="AZ539" i="3" s="1"/>
  <c r="BA537" i="3"/>
  <c r="BA535" i="3"/>
  <c r="AZ535" i="3" s="1"/>
  <c r="BA533" i="3"/>
  <c r="BA531" i="3"/>
  <c r="AZ531" i="3" s="1"/>
  <c r="BA529" i="3"/>
  <c r="BA527" i="3"/>
  <c r="AZ527" i="3" s="1"/>
  <c r="BA525" i="3"/>
  <c r="BA523" i="3"/>
  <c r="AZ523" i="3" s="1"/>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U32" i="33"/>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C33" i="36"/>
  <c r="AA12" i="35"/>
  <c r="W14" i="37"/>
  <c r="AB28" i="37"/>
  <c r="U33" i="37"/>
  <c r="U39" i="37"/>
  <c r="W26" i="37"/>
  <c r="AC8" i="37"/>
  <c r="U26" i="37"/>
  <c r="AB13" i="34"/>
  <c r="AB37" i="34"/>
  <c r="AA13" i="33"/>
  <c r="AC45" i="33"/>
  <c r="U11" i="33"/>
  <c r="U19" i="21"/>
  <c r="W44" i="21"/>
  <c r="AB38" i="21"/>
  <c r="F43" i="33"/>
  <c r="AA43" i="33"/>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c r="H15" i="39"/>
  <c r="U15" i="39"/>
  <c r="J15" i="39"/>
  <c r="W15" i="39"/>
  <c r="H41" i="39"/>
  <c r="AB41" i="39" s="1"/>
  <c r="AB34" i="39"/>
  <c r="S42" i="39"/>
  <c r="W9" i="39"/>
  <c r="W8" i="39"/>
  <c r="J19" i="40"/>
  <c r="AC19" i="40" s="1"/>
  <c r="J50" i="40"/>
  <c r="H103" i="9"/>
  <c r="D8" i="53"/>
  <c r="B16" i="53"/>
  <c r="B33" i="72" s="1"/>
  <c r="C7" i="37"/>
  <c r="C7" i="34"/>
  <c r="C7" i="36"/>
  <c r="C46" i="36" s="1"/>
  <c r="D46" i="36" s="1"/>
  <c r="W35" i="40"/>
  <c r="A118" i="9"/>
  <c r="A4" i="52"/>
  <c r="B41" i="72"/>
  <c r="G4" i="4"/>
  <c r="I4" i="4"/>
  <c r="K5" i="4"/>
  <c r="B47" i="48" s="1"/>
  <c r="A2" i="9"/>
  <c r="N2" i="43"/>
  <c r="F59" i="43"/>
  <c r="BL549" i="3"/>
  <c r="AZ502" i="3"/>
  <c r="AZ522" i="3"/>
  <c r="AZ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AZ393" i="3" s="1"/>
  <c r="BA394" i="3"/>
  <c r="BL394" i="3"/>
  <c r="AZ394" i="3" s="1"/>
  <c r="G113" i="3"/>
  <c r="BA115" i="3"/>
  <c r="BL116" i="3"/>
  <c r="G117" i="3"/>
  <c r="BA119" i="3"/>
  <c r="BL120" i="3"/>
  <c r="AZ120" i="3" s="1"/>
  <c r="G121" i="3"/>
  <c r="BA123" i="3"/>
  <c r="AZ123" i="3" s="1"/>
  <c r="BL124" i="3"/>
  <c r="AZ124" i="3" s="1"/>
  <c r="G125" i="3"/>
  <c r="BA127" i="3"/>
  <c r="BL128" i="3"/>
  <c r="AZ128" i="3" s="1"/>
  <c r="G129" i="3"/>
  <c r="BA131" i="3"/>
  <c r="AZ131" i="3" s="1"/>
  <c r="BL132" i="3"/>
  <c r="G133" i="3"/>
  <c r="BA135" i="3"/>
  <c r="BL136" i="3"/>
  <c r="AZ136" i="3" s="1"/>
  <c r="G137" i="3"/>
  <c r="BA139" i="3"/>
  <c r="BL140" i="3"/>
  <c r="G141" i="3"/>
  <c r="BA143" i="3"/>
  <c r="BL144" i="3"/>
  <c r="G145" i="3"/>
  <c r="BA147" i="3"/>
  <c r="AZ147" i="3" s="1"/>
  <c r="BL148" i="3"/>
  <c r="G149" i="3"/>
  <c r="BA151" i="3"/>
  <c r="AZ151" i="3" s="1"/>
  <c r="BL152" i="3"/>
  <c r="G153" i="3"/>
  <c r="BA155" i="3"/>
  <c r="AZ155" i="3" s="1"/>
  <c r="BL156" i="3"/>
  <c r="G157" i="3"/>
  <c r="BA159" i="3"/>
  <c r="BL160" i="3"/>
  <c r="AZ160" i="3" s="1"/>
  <c r="G161" i="3"/>
  <c r="BA163" i="3"/>
  <c r="BL164" i="3"/>
  <c r="AZ164" i="3" s="1"/>
  <c r="G165" i="3"/>
  <c r="BA167" i="3"/>
  <c r="BL168" i="3"/>
  <c r="G169" i="3"/>
  <c r="BA171" i="3"/>
  <c r="BL172" i="3"/>
  <c r="G173" i="3"/>
  <c r="BA175" i="3"/>
  <c r="BL176" i="3"/>
  <c r="G177" i="3"/>
  <c r="BA179" i="3"/>
  <c r="BL180" i="3"/>
  <c r="AZ180" i="3" s="1"/>
  <c r="G181" i="3"/>
  <c r="BA183" i="3"/>
  <c r="BL184" i="3"/>
  <c r="G185" i="3"/>
  <c r="BA187" i="3"/>
  <c r="AZ187" i="3" s="1"/>
  <c r="BL188" i="3"/>
  <c r="G189" i="3"/>
  <c r="BA191" i="3"/>
  <c r="BL192" i="3"/>
  <c r="G193" i="3"/>
  <c r="BA195" i="3"/>
  <c r="BL196" i="3"/>
  <c r="G197" i="3"/>
  <c r="BA199" i="3"/>
  <c r="BL200" i="3"/>
  <c r="AZ200" i="3" s="1"/>
  <c r="G201" i="3"/>
  <c r="BA203" i="3"/>
  <c r="BL204" i="3"/>
  <c r="AZ204" i="3"/>
  <c r="AZ43" i="3"/>
  <c r="AZ47" i="3"/>
  <c r="AZ51" i="3"/>
  <c r="AZ55" i="3"/>
  <c r="AZ75" i="3"/>
  <c r="AZ89" i="3"/>
  <c r="AZ101" i="3"/>
  <c r="AZ105"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BL347" i="3"/>
  <c r="G350" i="3"/>
  <c r="BA351" i="3"/>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AZ390" i="3" s="1"/>
  <c r="G391" i="3"/>
  <c r="G394" i="3"/>
  <c r="AZ142" i="3"/>
  <c r="AZ146" i="3"/>
  <c r="AZ190" i="3"/>
  <c r="BA16" i="3"/>
  <c r="AZ16" i="3" s="1"/>
  <c r="BL303" i="3"/>
  <c r="G304" i="3"/>
  <c r="BA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c r="BL352" i="3"/>
  <c r="G353" i="3"/>
  <c r="BA357" i="3"/>
  <c r="AZ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AZ383" i="3" s="1"/>
  <c r="BL384" i="3"/>
  <c r="G385" i="3"/>
  <c r="BA387" i="3"/>
  <c r="AZ387" i="3" s="1"/>
  <c r="BL388" i="3"/>
  <c r="G389" i="3"/>
  <c r="BA391" i="3"/>
  <c r="AZ391" i="3" s="1"/>
  <c r="BL392" i="3"/>
  <c r="G393" i="3"/>
  <c r="BO5" i="3"/>
  <c r="BJ5" i="3"/>
  <c r="BF5" i="3"/>
  <c r="AZ309" i="3"/>
  <c r="BQ5" i="3"/>
  <c r="AZ549" i="3"/>
  <c r="AZ496" i="3"/>
  <c r="G538" i="3"/>
  <c r="G520" i="3"/>
  <c r="G502" i="3"/>
  <c r="BP5" i="3"/>
  <c r="BK5" i="3"/>
  <c r="BG5" i="3"/>
  <c r="BC5" i="3"/>
  <c r="G17" i="3"/>
  <c r="BA17" i="3"/>
  <c r="BA15" i="3"/>
  <c r="BR5" i="3"/>
  <c r="AZ384" i="3"/>
  <c r="AZ509" i="3"/>
  <c r="BL493" i="3"/>
  <c r="AZ493" i="3" s="1"/>
  <c r="AZ491" i="3"/>
  <c r="AZ382" i="3"/>
  <c r="U36" i="40"/>
  <c r="N4" i="43"/>
  <c r="F36" i="43"/>
  <c r="F81" i="43"/>
  <c r="H83" i="43"/>
  <c r="H113" i="43"/>
  <c r="F48" i="43"/>
  <c r="N7" i="43"/>
  <c r="F70" i="43"/>
  <c r="H73" i="43"/>
  <c r="M6" i="43"/>
  <c r="M11" i="43"/>
  <c r="E17" i="43"/>
  <c r="F39" i="43"/>
  <c r="I17" i="43"/>
  <c r="F35" i="43"/>
  <c r="J17" i="43"/>
  <c r="F6" i="1"/>
  <c r="G6" i="1" s="1"/>
  <c r="U43" i="21"/>
  <c r="AC35" i="21"/>
  <c r="G8" i="1"/>
  <c r="G9" i="1"/>
  <c r="G10" i="1"/>
  <c r="F48" i="9"/>
  <c r="O52" i="9" s="1"/>
  <c r="AZ563" i="3"/>
  <c r="W37" i="37"/>
  <c r="W44" i="34"/>
  <c r="AC44" i="34"/>
  <c r="U13" i="37"/>
  <c r="U12" i="40"/>
  <c r="AA12" i="40"/>
  <c r="J37" i="33"/>
  <c r="W37" i="33"/>
  <c r="AC17" i="34"/>
  <c r="F106" i="33"/>
  <c r="G106" i="33" s="1"/>
  <c r="H106" i="33"/>
  <c r="I106" i="33" s="1"/>
  <c r="J106" i="33" s="1"/>
  <c r="K106" i="33" s="1"/>
  <c r="L106" i="33" s="1"/>
  <c r="M106" i="33" s="1"/>
  <c r="J34" i="33"/>
  <c r="F33" i="34"/>
  <c r="W12" i="36"/>
  <c r="H20" i="36"/>
  <c r="J20" i="36"/>
  <c r="W24" i="36"/>
  <c r="J27" i="36"/>
  <c r="W27" i="36"/>
  <c r="AB25" i="37"/>
  <c r="AC33" i="40"/>
  <c r="G111" i="40"/>
  <c r="H111" i="40" s="1"/>
  <c r="I111" i="40"/>
  <c r="J111" i="40" s="1"/>
  <c r="K111" i="40" s="1"/>
  <c r="L111" i="40" s="1"/>
  <c r="M111" i="40" s="1"/>
  <c r="H35" i="40"/>
  <c r="AB35" i="40"/>
  <c r="W29" i="35"/>
  <c r="H35" i="37"/>
  <c r="U35" i="37"/>
  <c r="H20" i="35"/>
  <c r="F20" i="35"/>
  <c r="AB23" i="35"/>
  <c r="U29" i="36"/>
  <c r="H32" i="37"/>
  <c r="AB32" i="37"/>
  <c r="F96" i="37"/>
  <c r="H27" i="40"/>
  <c r="U27" i="40" s="1"/>
  <c r="J27" i="40"/>
  <c r="F27" i="40"/>
  <c r="S27" i="40" s="1"/>
  <c r="J30" i="40"/>
  <c r="F30" i="40"/>
  <c r="AC2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F97" i="39"/>
  <c r="G97" i="39" s="1"/>
  <c r="C40" i="11"/>
  <c r="AZ223" i="3"/>
  <c r="AZ130" i="3"/>
  <c r="AZ33" i="3"/>
  <c r="AZ42" i="3"/>
  <c r="AZ50" i="3"/>
  <c r="AZ58" i="3"/>
  <c r="AZ61" i="3"/>
  <c r="AZ69" i="3"/>
  <c r="AZ74" i="3"/>
  <c r="AZ102" i="3"/>
  <c r="H75" i="43"/>
  <c r="H74" i="43"/>
  <c r="H50"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c r="H86" i="43"/>
  <c r="H82" i="43"/>
  <c r="H87" i="43"/>
  <c r="K9" i="1"/>
  <c r="M9" i="1" s="1"/>
  <c r="AE9" i="1"/>
  <c r="D93" i="9"/>
  <c r="W26" i="33"/>
  <c r="AC27" i="34"/>
  <c r="U34" i="36"/>
  <c r="U33" i="36"/>
  <c r="AC12" i="39"/>
  <c r="W12" i="39"/>
  <c r="AZ433" i="3"/>
  <c r="W12" i="33"/>
  <c r="AA32" i="36"/>
  <c r="AZ551" i="3"/>
  <c r="AZ441" i="3"/>
  <c r="AZ457" i="3"/>
  <c r="AZ473" i="3"/>
  <c r="AZ490" i="3"/>
  <c r="AA39" i="34"/>
  <c r="BL14" i="3"/>
  <c r="AC13" i="34"/>
  <c r="W28" i="37"/>
  <c r="H12" i="39"/>
  <c r="AB12" i="39" s="1"/>
  <c r="F39" i="40"/>
  <c r="S39" i="40" s="1"/>
  <c r="BA14" i="3"/>
  <c r="AZ14" i="3" s="1"/>
  <c r="AZ157" i="3"/>
  <c r="AZ189" i="3"/>
  <c r="AZ41" i="3"/>
  <c r="S12" i="1"/>
  <c r="R12" i="1"/>
  <c r="B12" i="1"/>
  <c r="E12" i="1" s="1"/>
  <c r="S10" i="1"/>
  <c r="R10" i="1"/>
  <c r="B10" i="1"/>
  <c r="E10" i="1" s="1"/>
  <c r="D1" i="66"/>
  <c r="E10" i="66" s="1"/>
  <c r="AZ88" i="3"/>
  <c r="K12" i="1"/>
  <c r="M12" i="1" s="1"/>
  <c r="S13" i="1"/>
  <c r="R13" i="1"/>
  <c r="S11" i="1"/>
  <c r="R11" i="1"/>
  <c r="S9" i="1"/>
  <c r="R9" i="1"/>
  <c r="J51" i="67"/>
  <c r="C42" i="1"/>
  <c r="C24" i="12" s="1"/>
  <c r="H100" i="43"/>
  <c r="C30" i="66"/>
  <c r="E26" i="66"/>
  <c r="AA34" i="33"/>
  <c r="B41" i="1"/>
  <c r="S22" i="31"/>
  <c r="R22" i="31" s="1"/>
  <c r="J100" i="43"/>
  <c r="AB37" i="40"/>
  <c r="S35" i="40"/>
  <c r="U35" i="40"/>
  <c r="S17" i="40"/>
  <c r="AC17" i="40"/>
  <c r="AC15" i="40"/>
  <c r="AB27" i="40"/>
  <c r="AA19" i="40"/>
  <c r="S28" i="40"/>
  <c r="AA27" i="40"/>
  <c r="U21" i="40"/>
  <c r="AB19" i="40"/>
  <c r="W42" i="39"/>
  <c r="U37" i="39"/>
  <c r="S43" i="39"/>
  <c r="S37" i="39"/>
  <c r="U35" i="39"/>
  <c r="F107" i="39"/>
  <c r="G107" i="39" s="1"/>
  <c r="H107" i="39" s="1"/>
  <c r="S25" i="39"/>
  <c r="J21" i="39"/>
  <c r="F21" i="39"/>
  <c r="AA21" i="39" s="1"/>
  <c r="H21" i="39"/>
  <c r="AB21" i="39" s="1"/>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U10" i="36"/>
  <c r="W10" i="36"/>
  <c r="W24" i="35"/>
  <c r="U29" i="35"/>
  <c r="U28" i="35"/>
  <c r="AB27" i="35"/>
  <c r="U32" i="35"/>
  <c r="AC30" i="35"/>
  <c r="AA36" i="35"/>
  <c r="S28" i="35"/>
  <c r="U22" i="35"/>
  <c r="AC20" i="35"/>
  <c r="U14" i="35"/>
  <c r="AA10" i="35"/>
  <c r="AA11" i="35"/>
  <c r="S8" i="35"/>
  <c r="AC9" i="35"/>
  <c r="AC12" i="35"/>
  <c r="F9" i="35"/>
  <c r="AA9" i="35" s="1"/>
  <c r="F26" i="35"/>
  <c r="AA26" i="35" s="1"/>
  <c r="J26" i="35"/>
  <c r="AC26" i="35" s="1"/>
  <c r="H26" i="35"/>
  <c r="AB40" i="37"/>
  <c r="W27" i="37"/>
  <c r="AC9" i="37"/>
  <c r="U29" i="37"/>
  <c r="S32" i="37"/>
  <c r="AB31" i="37"/>
  <c r="W30" i="37"/>
  <c r="S36" i="37"/>
  <c r="AA38" i="37"/>
  <c r="U32" i="37"/>
  <c r="W38" i="37"/>
  <c r="AC35" i="37"/>
  <c r="S30" i="37"/>
  <c r="AC15" i="37"/>
  <c r="J17" i="37"/>
  <c r="W17" i="37"/>
  <c r="F17" i="37"/>
  <c r="AA17" i="37" s="1"/>
  <c r="AB17" i="37"/>
  <c r="F19" i="37"/>
  <c r="S19" i="37" s="1"/>
  <c r="F23" i="37"/>
  <c r="U23" i="37"/>
  <c r="U15" i="37"/>
  <c r="U9" i="37"/>
  <c r="AA12" i="37"/>
  <c r="AA9" i="37"/>
  <c r="H10" i="37"/>
  <c r="H60" i="37"/>
  <c r="I60" i="37" s="1"/>
  <c r="F11" i="37"/>
  <c r="AB8" i="34"/>
  <c r="U44" i="34"/>
  <c r="AC39" i="34"/>
  <c r="AC42" i="34"/>
  <c r="U39" i="34"/>
  <c r="S43" i="34"/>
  <c r="AB41" i="34"/>
  <c r="W34" i="34"/>
  <c r="AA25" i="34"/>
  <c r="U28" i="34"/>
  <c r="S17" i="34"/>
  <c r="AA29" i="34"/>
  <c r="S23" i="34"/>
  <c r="U15" i="34"/>
  <c r="S10" i="34"/>
  <c r="H67" i="34"/>
  <c r="I67" i="34" s="1"/>
  <c r="H10" i="34"/>
  <c r="F11" i="34"/>
  <c r="S11" i="34" s="1"/>
  <c r="F70" i="34"/>
  <c r="W42" i="33"/>
  <c r="AA35" i="33"/>
  <c r="S32" i="33"/>
  <c r="AB29"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F87" i="33"/>
  <c r="H25" i="33"/>
  <c r="F25" i="33"/>
  <c r="AA25" i="33" s="1"/>
  <c r="J23" i="33"/>
  <c r="F85" i="33"/>
  <c r="G85" i="33" s="1"/>
  <c r="H23" i="33"/>
  <c r="F81" i="33"/>
  <c r="F19" i="33"/>
  <c r="S19" i="33"/>
  <c r="W19" i="33"/>
  <c r="J17" i="33"/>
  <c r="AC17" i="33" s="1"/>
  <c r="S15" i="33"/>
  <c r="W15" i="33"/>
  <c r="U9" i="33"/>
  <c r="J10" i="33"/>
  <c r="W10" i="33" s="1"/>
  <c r="H10" i="33"/>
  <c r="AA10" i="33"/>
  <c r="AB14" i="33"/>
  <c r="W36" i="21"/>
  <c r="AB39" i="21"/>
  <c r="S39" i="21"/>
  <c r="AA36" i="21"/>
  <c r="J15" i="21"/>
  <c r="F77" i="21"/>
  <c r="G77" i="21" s="1"/>
  <c r="F23" i="21"/>
  <c r="E85" i="21"/>
  <c r="AC11" i="21"/>
  <c r="AA14" i="21"/>
  <c r="S8" i="21"/>
  <c r="M3" i="43"/>
  <c r="N10" i="43"/>
  <c r="M1" i="43"/>
  <c r="M8" i="43"/>
  <c r="N8" i="43"/>
  <c r="N9" i="43"/>
  <c r="D120" i="9"/>
  <c r="C18" i="9"/>
  <c r="D18" i="9" s="1"/>
  <c r="F34" i="67"/>
  <c r="F62" i="67" s="1"/>
  <c r="M20" i="67"/>
  <c r="F34" i="15"/>
  <c r="F62" i="15" s="1"/>
  <c r="G13" i="3"/>
  <c r="BA13" i="3"/>
  <c r="BL17" i="3"/>
  <c r="BL13" i="3"/>
  <c r="J56" i="9"/>
  <c r="J57" i="9"/>
  <c r="E32" i="6"/>
  <c r="L19" i="6"/>
  <c r="G1" i="68"/>
  <c r="K1" i="12"/>
  <c r="AQ12"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D63" i="40" s="1"/>
  <c r="E63" i="40" s="1"/>
  <c r="M47" i="9"/>
  <c r="G19" i="43"/>
  <c r="O19" i="43" s="1"/>
  <c r="T35" i="4"/>
  <c r="A19" i="51"/>
  <c r="B14" i="72" s="1"/>
  <c r="C59" i="34"/>
  <c r="D59" i="34" s="1"/>
  <c r="E59" i="34" s="1"/>
  <c r="C52" i="37"/>
  <c r="D52" i="37" s="1"/>
  <c r="A4" i="51"/>
  <c r="B6" i="72" s="1"/>
  <c r="C48" i="35"/>
  <c r="D48" i="35" s="1"/>
  <c r="E48" i="35" s="1"/>
  <c r="C58" i="21"/>
  <c r="D58" i="21" s="1"/>
  <c r="E58" i="21" s="1"/>
  <c r="C4" i="12"/>
  <c r="H66" i="43"/>
  <c r="H65" i="43"/>
  <c r="H64" i="43"/>
  <c r="H63" i="43"/>
  <c r="H55" i="43"/>
  <c r="H56" i="43"/>
  <c r="H76" i="43"/>
  <c r="H72" i="43"/>
  <c r="H77" i="43"/>
  <c r="L20" i="6"/>
  <c r="B6" i="1"/>
  <c r="E6" i="1" s="1"/>
  <c r="S8" i="1"/>
  <c r="AQ8" i="1" s="1"/>
  <c r="K11" i="1"/>
  <c r="M11" i="1" s="1"/>
  <c r="O11" i="1" s="1"/>
  <c r="AP6" i="1"/>
  <c r="B9" i="1"/>
  <c r="E9" i="1"/>
  <c r="K7" i="1"/>
  <c r="G1" i="15"/>
  <c r="G1" i="69"/>
  <c r="G1" i="67"/>
  <c r="U32" i="40"/>
  <c r="S37" i="40"/>
  <c r="W28" i="40"/>
  <c r="W34" i="40"/>
  <c r="W19" i="40"/>
  <c r="S36" i="40"/>
  <c r="W37" i="40"/>
  <c r="AC14" i="40"/>
  <c r="S13" i="40"/>
  <c r="S33" i="40"/>
  <c r="U11" i="40"/>
  <c r="AB13" i="40"/>
  <c r="AB17" i="40"/>
  <c r="U8" i="40"/>
  <c r="S8" i="40"/>
  <c r="AA39" i="39"/>
  <c r="AC41" i="39"/>
  <c r="U41" i="39"/>
  <c r="AC25" i="39"/>
  <c r="U13" i="39"/>
  <c r="AA13" i="39"/>
  <c r="S13" i="39"/>
  <c r="S14" i="39"/>
  <c r="U43" i="39"/>
  <c r="AB43" i="39"/>
  <c r="AA27" i="39"/>
  <c r="W31" i="39"/>
  <c r="S23" i="39"/>
  <c r="W34" i="39"/>
  <c r="S8" i="39"/>
  <c r="S20" i="36"/>
  <c r="AC25" i="36"/>
  <c r="S28" i="36"/>
  <c r="W29" i="36"/>
  <c r="U25" i="36"/>
  <c r="AA13" i="36"/>
  <c r="W9" i="36"/>
  <c r="W22" i="36"/>
  <c r="W23" i="36"/>
  <c r="S9" i="36"/>
  <c r="AC25" i="35"/>
  <c r="S24" i="35"/>
  <c r="AA30" i="35"/>
  <c r="AA16" i="35"/>
  <c r="W36" i="37"/>
  <c r="S27" i="37"/>
  <c r="S28" i="37"/>
  <c r="U36" i="37"/>
  <c r="U38" i="37"/>
  <c r="S33" i="37"/>
  <c r="AC34" i="37"/>
  <c r="AB35" i="37"/>
  <c r="AA31" i="37"/>
  <c r="U19" i="37"/>
  <c r="AA29" i="37"/>
  <c r="AA8" i="37"/>
  <c r="U8" i="37"/>
  <c r="AA40" i="34"/>
  <c r="AB40" i="34"/>
  <c r="U19" i="34"/>
  <c r="W19" i="34"/>
  <c r="AB33" i="34"/>
  <c r="AA30" i="34"/>
  <c r="AB47" i="34"/>
  <c r="AB36" i="34"/>
  <c r="AC14" i="34"/>
  <c r="AC29" i="34"/>
  <c r="W46" i="34"/>
  <c r="AC46" i="34"/>
  <c r="S32" i="34"/>
  <c r="AA32" i="34"/>
  <c r="U30" i="34"/>
  <c r="AB30" i="34"/>
  <c r="S37" i="34"/>
  <c r="AC40" i="34"/>
  <c r="W40" i="34"/>
  <c r="AA19" i="34"/>
  <c r="AA36" i="34"/>
  <c r="AA8" i="34"/>
  <c r="S8" i="34"/>
  <c r="AB9" i="34"/>
  <c r="S46" i="34"/>
  <c r="U32" i="34"/>
  <c r="U14" i="34"/>
  <c r="AC43" i="34"/>
  <c r="W43" i="34"/>
  <c r="AA11" i="34"/>
  <c r="W23" i="34"/>
  <c r="AC23" i="34"/>
  <c r="AC35" i="34"/>
  <c r="W35" i="34"/>
  <c r="U12" i="34"/>
  <c r="AB12" i="34"/>
  <c r="AC37" i="33"/>
  <c r="U39" i="33"/>
  <c r="S33" i="33"/>
  <c r="AB34" i="33"/>
  <c r="U44" i="33"/>
  <c r="AC14" i="33"/>
  <c r="AC30" i="33"/>
  <c r="S31" i="33"/>
  <c r="AA31" i="33"/>
  <c r="W13" i="33"/>
  <c r="AC13" i="33"/>
  <c r="U15" i="33"/>
  <c r="S11" i="33"/>
  <c r="U37" i="33"/>
  <c r="S28" i="33"/>
  <c r="W8" i="33"/>
  <c r="AB42" i="21"/>
  <c r="U28" i="21"/>
  <c r="AA11" i="21"/>
  <c r="S45" i="21"/>
  <c r="I101" i="21"/>
  <c r="J101" i="21" s="1"/>
  <c r="K101" i="21" s="1"/>
  <c r="L101" i="21" s="1"/>
  <c r="M101" i="21" s="1"/>
  <c r="F33" i="21"/>
  <c r="J33" i="21"/>
  <c r="W33" i="21" s="1"/>
  <c r="H33" i="21"/>
  <c r="AB33" i="21"/>
  <c r="F37" i="21"/>
  <c r="AA37" i="21"/>
  <c r="AA26" i="21"/>
  <c r="AB14" i="21"/>
  <c r="U40" i="21"/>
  <c r="U31" i="21"/>
  <c r="U13" i="21"/>
  <c r="W8"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K141" i="21"/>
  <c r="K144" i="21"/>
  <c r="K143" i="21"/>
  <c r="AB25" i="21"/>
  <c r="AA30" i="21"/>
  <c r="W42" i="21"/>
  <c r="F10" i="21"/>
  <c r="S10" i="21" s="1"/>
  <c r="K145" i="21"/>
  <c r="W17" i="21"/>
  <c r="AA29" i="21"/>
  <c r="W31" i="21"/>
  <c r="S17" i="21"/>
  <c r="AA15" i="21"/>
  <c r="AC26" i="21"/>
  <c r="S28" i="21"/>
  <c r="W10" i="21"/>
  <c r="AB36" i="21"/>
  <c r="C19" i="39"/>
  <c r="C15" i="40"/>
  <c r="C17" i="40"/>
  <c r="C23" i="40"/>
  <c r="C21" i="40"/>
  <c r="U30" i="40"/>
  <c r="B54" i="43"/>
  <c r="B65" i="43"/>
  <c r="B49" i="43"/>
  <c r="B52" i="43"/>
  <c r="B56" i="43"/>
  <c r="B60" i="43"/>
  <c r="B63" i="43"/>
  <c r="B67" i="43"/>
  <c r="D23" i="15"/>
  <c r="D22" i="15"/>
  <c r="E4" i="4"/>
  <c r="B5" i="62" s="1"/>
  <c r="B73" i="72" s="1"/>
  <c r="C4" i="4"/>
  <c r="AZ13" i="3"/>
  <c r="F52" i="9"/>
  <c r="D9" i="69"/>
  <c r="C9" i="69" s="1"/>
  <c r="C77" i="9"/>
  <c r="C74" i="9" s="1"/>
  <c r="AA39" i="40"/>
  <c r="J32" i="39"/>
  <c r="W32" i="39" s="1"/>
  <c r="I107" i="39"/>
  <c r="J107" i="39" s="1"/>
  <c r="K107" i="39"/>
  <c r="L107" i="39" s="1"/>
  <c r="M107" i="39" s="1"/>
  <c r="AC21" i="39"/>
  <c r="W21" i="39"/>
  <c r="S26" i="35"/>
  <c r="S9" i="35"/>
  <c r="W26" i="35"/>
  <c r="AB26" i="35"/>
  <c r="U26" i="35"/>
  <c r="AC17" i="37"/>
  <c r="S17" i="37"/>
  <c r="J19" i="37"/>
  <c r="G75" i="37"/>
  <c r="AA19" i="37"/>
  <c r="J23" i="37"/>
  <c r="W23" i="37" s="1"/>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D121" i="9"/>
  <c r="D7" i="52"/>
  <c r="K120" i="9"/>
  <c r="J59" i="9"/>
  <c r="J61" i="9" s="1"/>
  <c r="T8" i="1"/>
  <c r="B21" i="31"/>
  <c r="E52" i="37"/>
  <c r="F58" i="21"/>
  <c r="F48" i="35"/>
  <c r="C65" i="40"/>
  <c r="AP7" i="1"/>
  <c r="AC33" i="21"/>
  <c r="S33" i="21"/>
  <c r="AA33" i="21"/>
  <c r="W32" i="21"/>
  <c r="AB9" i="21"/>
  <c r="AA32" i="21"/>
  <c r="S32" i="21"/>
  <c r="W9" i="21"/>
  <c r="AC9" i="21"/>
  <c r="AB32" i="21"/>
  <c r="U32" i="21"/>
  <c r="A18" i="62"/>
  <c r="B64" i="72" s="1"/>
  <c r="W19" i="37"/>
  <c r="AC19" i="37"/>
  <c r="AC23" i="37"/>
  <c r="AB11" i="37"/>
  <c r="U11" i="37"/>
  <c r="I63" i="37"/>
  <c r="J63" i="37" s="1"/>
  <c r="K63" i="37"/>
  <c r="L63" i="37" s="1"/>
  <c r="M63" i="37" s="1"/>
  <c r="J11" i="37"/>
  <c r="U11" i="34"/>
  <c r="AB11" i="34"/>
  <c r="AC10" i="34"/>
  <c r="H70" i="34"/>
  <c r="I70" i="34" s="1"/>
  <c r="J70" i="34"/>
  <c r="K70" i="34" s="1"/>
  <c r="L70" i="34" s="1"/>
  <c r="M70" i="34" s="1"/>
  <c r="J11" i="34"/>
  <c r="W11" i="34" s="1"/>
  <c r="W36" i="33"/>
  <c r="U36" i="33"/>
  <c r="AB36" i="33"/>
  <c r="W25" i="33"/>
  <c r="AC25" i="33"/>
  <c r="S23" i="33"/>
  <c r="AB19" i="33"/>
  <c r="U19" i="33"/>
  <c r="AA17" i="33"/>
  <c r="S17" i="33"/>
  <c r="AB17" i="33"/>
  <c r="AB23" i="21"/>
  <c r="AC23" i="21"/>
  <c r="W23" i="21"/>
  <c r="D65" i="40"/>
  <c r="F1" i="67"/>
  <c r="Q52" i="67"/>
  <c r="AC11" i="37"/>
  <c r="W11" i="37"/>
  <c r="C13" i="12"/>
  <c r="F34" i="11"/>
  <c r="F11" i="12"/>
  <c r="F34" i="68"/>
  <c r="R8" i="1"/>
  <c r="AE8" i="1"/>
  <c r="AG6" i="1"/>
  <c r="H109" i="9"/>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B11" i="76"/>
  <c r="E7" i="76"/>
  <c r="E11" i="76"/>
  <c r="AO8" i="1"/>
  <c r="AO10" i="1"/>
  <c r="AO11" i="1"/>
  <c r="D2" i="37"/>
  <c r="D2" i="35"/>
  <c r="AO12" i="1"/>
  <c r="E8" i="76"/>
  <c r="B9" i="76"/>
  <c r="E2" i="68"/>
  <c r="D2" i="36"/>
  <c r="F8" i="67"/>
  <c r="B10" i="76"/>
  <c r="AO13" i="1"/>
  <c r="F38" i="67"/>
  <c r="F9" i="67"/>
  <c r="M28" i="67"/>
  <c r="F37" i="67"/>
  <c r="E9" i="76"/>
  <c r="J15" i="67"/>
  <c r="E13" i="76"/>
  <c r="M8" i="15"/>
  <c r="M24" i="15"/>
  <c r="F13" i="15"/>
  <c r="M24" i="67"/>
  <c r="B13" i="76"/>
  <c r="E10" i="76"/>
  <c r="D2" i="21"/>
  <c r="L47" i="15"/>
  <c r="F13" i="67"/>
  <c r="M23" i="15"/>
  <c r="M6" i="15"/>
  <c r="F40" i="15"/>
  <c r="M6" i="67"/>
  <c r="E12" i="76"/>
  <c r="F36" i="15"/>
  <c r="B7" i="76"/>
  <c r="F41" i="67"/>
  <c r="F16" i="15"/>
  <c r="L47" i="67"/>
  <c r="D2" i="34"/>
  <c r="M28" i="15"/>
  <c r="AO9" i="1"/>
  <c r="F37" i="15"/>
  <c r="B8" i="76"/>
  <c r="D2" i="33"/>
  <c r="B12" i="76"/>
  <c r="F6" i="15"/>
  <c r="E2" i="69"/>
  <c r="F20" i="31"/>
  <c r="H110" i="9" l="1"/>
  <c r="D18" i="53" s="1"/>
  <c r="B35" i="72" s="1"/>
  <c r="D16" i="53"/>
  <c r="AA13" i="21"/>
  <c r="S13" i="21"/>
  <c r="U45" i="21"/>
  <c r="AB45" i="21"/>
  <c r="S23" i="21"/>
  <c r="AA23" i="21"/>
  <c r="W15" i="21"/>
  <c r="AC15" i="21"/>
  <c r="AC33" i="34"/>
  <c r="W33" i="34"/>
  <c r="AC30" i="40"/>
  <c r="W30" i="40"/>
  <c r="AC27" i="40"/>
  <c r="W27" i="40"/>
  <c r="U20" i="35"/>
  <c r="AB20" i="35"/>
  <c r="U20" i="36"/>
  <c r="AB20" i="36"/>
  <c r="S33" i="34"/>
  <c r="AA33" i="34"/>
  <c r="AA15" i="37"/>
  <c r="S15" i="37"/>
  <c r="U31" i="40"/>
  <c r="AB31" i="40"/>
  <c r="AA37" i="37"/>
  <c r="S37" i="37"/>
  <c r="AC32" i="37"/>
  <c r="W32" i="37"/>
  <c r="AB24" i="35"/>
  <c r="U24" i="35"/>
  <c r="U35" i="34"/>
  <c r="AB35" i="34"/>
  <c r="AA14" i="36"/>
  <c r="S14" i="36"/>
  <c r="S25" i="21"/>
  <c r="AA25" i="21"/>
  <c r="AZ571" i="3"/>
  <c r="AZ581" i="3"/>
  <c r="AZ494" i="3"/>
  <c r="AZ500" i="3"/>
  <c r="AZ518" i="3"/>
  <c r="AZ562" i="3"/>
  <c r="AC14" i="39"/>
  <c r="W14" i="39"/>
  <c r="AA13" i="34"/>
  <c r="S13" i="34"/>
  <c r="AA46" i="33"/>
  <c r="S46" i="33"/>
  <c r="S44" i="33"/>
  <c r="AA44" i="33"/>
  <c r="U37" i="37"/>
  <c r="AB37" i="37"/>
  <c r="U11" i="36"/>
  <c r="AB11" i="36"/>
  <c r="W32" i="36"/>
  <c r="AC32" i="36"/>
  <c r="U28" i="36"/>
  <c r="AB28" i="36"/>
  <c r="W32" i="34"/>
  <c r="AC32" i="34"/>
  <c r="W31" i="33"/>
  <c r="AC31" i="33"/>
  <c r="AC33" i="35"/>
  <c r="W33" i="35"/>
  <c r="W28" i="33"/>
  <c r="AC28" i="33"/>
  <c r="U28" i="33"/>
  <c r="AB28" i="33"/>
  <c r="W11" i="33"/>
  <c r="AC11" i="33"/>
  <c r="AC25" i="34"/>
  <c r="W25" i="34"/>
  <c r="AB38" i="34"/>
  <c r="U38" i="34"/>
  <c r="S15" i="40"/>
  <c r="AA15" i="40"/>
  <c r="U28" i="40"/>
  <c r="AB28" i="40"/>
  <c r="AC16" i="35"/>
  <c r="W16" i="35"/>
  <c r="AA23" i="35"/>
  <c r="S23" i="35"/>
  <c r="S34" i="36"/>
  <c r="AA34" i="36"/>
  <c r="AA22" i="35"/>
  <c r="S22" i="35"/>
  <c r="AC23" i="40"/>
  <c r="W23" i="40"/>
  <c r="AC36" i="39"/>
  <c r="W36" i="39"/>
  <c r="W45" i="39"/>
  <c r="AC45" i="39"/>
  <c r="AB26" i="21"/>
  <c r="U26" i="21"/>
  <c r="AA35" i="21"/>
  <c r="S35" i="21"/>
  <c r="W34" i="21"/>
  <c r="AC34" i="21"/>
  <c r="AB10" i="21"/>
  <c r="U10" i="21"/>
  <c r="W40" i="21"/>
  <c r="AC40" i="21"/>
  <c r="S43" i="21"/>
  <c r="AA43" i="21"/>
  <c r="AA34" i="21"/>
  <c r="S34" i="21"/>
  <c r="AC43" i="21"/>
  <c r="W43" i="21"/>
  <c r="AA12" i="21"/>
  <c r="S12" i="21"/>
  <c r="AZ584" i="3"/>
  <c r="BL583" i="3"/>
  <c r="AZ583" i="3" s="1"/>
  <c r="BL573" i="3"/>
  <c r="AZ573" i="3" s="1"/>
  <c r="AZ555" i="3"/>
  <c r="BL553" i="3"/>
  <c r="AZ553" i="3" s="1"/>
  <c r="BL547" i="3"/>
  <c r="AZ547" i="3" s="1"/>
  <c r="AZ545" i="3"/>
  <c r="BI5" i="3"/>
  <c r="BE5" i="3"/>
  <c r="BT5" i="3"/>
  <c r="BL543" i="3"/>
  <c r="AZ543" i="3" s="1"/>
  <c r="BS5" i="3"/>
  <c r="F28" i="6" s="1"/>
  <c r="BH5" i="3"/>
  <c r="BD5" i="3"/>
  <c r="D124" i="9"/>
  <c r="AC11" i="34"/>
  <c r="W10" i="37"/>
  <c r="AA10" i="21"/>
  <c r="E65" i="40"/>
  <c r="F63" i="40"/>
  <c r="S11" i="37"/>
  <c r="AA11" i="37"/>
  <c r="S23" i="37"/>
  <c r="AA23" i="37"/>
  <c r="AC39" i="39"/>
  <c r="W39" i="39"/>
  <c r="AA30" i="40"/>
  <c r="S30" i="40"/>
  <c r="AA20" i="35"/>
  <c r="S20" i="35"/>
  <c r="W20" i="36"/>
  <c r="AC20" i="36"/>
  <c r="W34" i="33"/>
  <c r="AC34" i="33"/>
  <c r="H52" i="43"/>
  <c r="H49" i="43"/>
  <c r="H54" i="43"/>
  <c r="H51" i="43"/>
  <c r="G28" i="6"/>
  <c r="H62" i="43"/>
  <c r="H61" i="43"/>
  <c r="H60" i="43"/>
  <c r="H59" i="43"/>
  <c r="H67" i="43"/>
  <c r="W36" i="40"/>
  <c r="AC36" i="40"/>
  <c r="S32" i="40"/>
  <c r="AA32" i="40"/>
  <c r="AA31" i="40"/>
  <c r="S31" i="40"/>
  <c r="AC41" i="34"/>
  <c r="W41" i="34"/>
  <c r="AB27" i="34"/>
  <c r="U27" i="34"/>
  <c r="AC25" i="21"/>
  <c r="W25" i="21"/>
  <c r="AC5" i="3"/>
  <c r="G509" i="3"/>
  <c r="AZ495" i="3"/>
  <c r="AZ499" i="3"/>
  <c r="AZ513" i="3"/>
  <c r="AZ517" i="3"/>
  <c r="W13" i="39"/>
  <c r="AC13" i="39"/>
  <c r="AC46" i="33"/>
  <c r="W46" i="33"/>
  <c r="AC44" i="33"/>
  <c r="W44" i="33"/>
  <c r="S14" i="33"/>
  <c r="AA14" i="33"/>
  <c r="AA40" i="37"/>
  <c r="S40" i="37"/>
  <c r="W29" i="37"/>
  <c r="AC29" i="37"/>
  <c r="AA11" i="36"/>
  <c r="S11" i="36"/>
  <c r="AB32" i="36"/>
  <c r="U32" i="36"/>
  <c r="W26" i="36"/>
  <c r="AC26" i="36"/>
  <c r="AC11" i="35"/>
  <c r="W11" i="35"/>
  <c r="W30" i="34"/>
  <c r="AC30" i="34"/>
  <c r="AA45" i="33"/>
  <c r="S45" i="33"/>
  <c r="S29" i="33"/>
  <c r="AA29" i="33"/>
  <c r="AC29" i="33"/>
  <c r="W29" i="33"/>
  <c r="S33" i="35"/>
  <c r="AA33" i="35"/>
  <c r="U26" i="33"/>
  <c r="AB26" i="33"/>
  <c r="W10" i="35"/>
  <c r="AC10" i="35"/>
  <c r="AC37" i="34"/>
  <c r="W37" i="34"/>
  <c r="AB25" i="34"/>
  <c r="U25" i="34"/>
  <c r="W36" i="34"/>
  <c r="AC36" i="34"/>
  <c r="AB15" i="40"/>
  <c r="U15" i="40"/>
  <c r="AA23" i="40"/>
  <c r="S23" i="40"/>
  <c r="S35" i="37"/>
  <c r="AA35" i="37"/>
  <c r="U16" i="35"/>
  <c r="AB16" i="35"/>
  <c r="AC32" i="35"/>
  <c r="W32" i="35"/>
  <c r="AA14" i="35"/>
  <c r="S14" i="35"/>
  <c r="U10" i="35"/>
  <c r="AB10" i="35"/>
  <c r="AB30" i="35"/>
  <c r="U30" i="35"/>
  <c r="AB42" i="39"/>
  <c r="U42" i="39"/>
  <c r="AB40" i="39"/>
  <c r="U40" i="39"/>
  <c r="AA11" i="40"/>
  <c r="S11" i="40"/>
  <c r="AB36" i="39"/>
  <c r="U36" i="39"/>
  <c r="S45" i="39"/>
  <c r="AA45" i="39"/>
  <c r="U8" i="21"/>
  <c r="AB8" i="21"/>
  <c r="AB35" i="21"/>
  <c r="U35" i="21"/>
  <c r="S38" i="21"/>
  <c r="AA38" i="21"/>
  <c r="BA587" i="3"/>
  <c r="AZ587" i="3" s="1"/>
  <c r="BA586" i="3"/>
  <c r="AZ586" i="3" s="1"/>
  <c r="AC27" i="21"/>
  <c r="W27" i="21"/>
  <c r="J27" i="39"/>
  <c r="AC27" i="39" s="1"/>
  <c r="G101" i="39"/>
  <c r="BL569" i="3"/>
  <c r="AZ569" i="3" s="1"/>
  <c r="BL557" i="3"/>
  <c r="AZ557" i="3" s="1"/>
  <c r="AZ486" i="3"/>
  <c r="AZ488" i="3"/>
  <c r="J39" i="40"/>
  <c r="H39" i="40"/>
  <c r="J27" i="33"/>
  <c r="H32" i="39"/>
  <c r="AC45" i="21"/>
  <c r="W9" i="33"/>
  <c r="U38" i="33"/>
  <c r="AZ17" i="3"/>
  <c r="W41" i="21"/>
  <c r="H27" i="33"/>
  <c r="W38" i="33"/>
  <c r="U43" i="34"/>
  <c r="W39" i="37"/>
  <c r="S25" i="37"/>
  <c r="H9" i="35"/>
  <c r="S32" i="35"/>
  <c r="U36" i="35"/>
  <c r="F32" i="39"/>
  <c r="S32" i="39" s="1"/>
  <c r="F53" i="9"/>
  <c r="F30" i="84"/>
  <c r="F30" i="83"/>
  <c r="M18" i="79"/>
  <c r="F32" i="79"/>
  <c r="F60" i="79" s="1"/>
  <c r="F28" i="79"/>
  <c r="C28" i="79" s="1"/>
  <c r="F12" i="33"/>
  <c r="AC14" i="35"/>
  <c r="BB5" i="3"/>
  <c r="BN5" i="3"/>
  <c r="BM5" i="3"/>
  <c r="AZ377" i="3"/>
  <c r="AZ369" i="3"/>
  <c r="AZ361" i="3"/>
  <c r="AZ338" i="3"/>
  <c r="AZ306" i="3"/>
  <c r="AZ355" i="3"/>
  <c r="AZ351" i="3"/>
  <c r="AZ336" i="3"/>
  <c r="AZ305" i="3"/>
  <c r="J13" i="37"/>
  <c r="F13" i="37"/>
  <c r="H35" i="35"/>
  <c r="F35" i="35"/>
  <c r="H25" i="35"/>
  <c r="F25" i="35"/>
  <c r="H13" i="35"/>
  <c r="J13" i="35"/>
  <c r="J47" i="34"/>
  <c r="F47" i="34"/>
  <c r="F45" i="34"/>
  <c r="J45" i="34"/>
  <c r="F31" i="34"/>
  <c r="H31" i="34"/>
  <c r="H29" i="34"/>
  <c r="F30" i="33"/>
  <c r="H29" i="21"/>
  <c r="F27" i="21"/>
  <c r="H27" i="21"/>
  <c r="J13" i="21"/>
  <c r="F46" i="21"/>
  <c r="J46" i="21"/>
  <c r="F44" i="21"/>
  <c r="H44" i="21"/>
  <c r="U34" i="37"/>
  <c r="S8" i="33"/>
  <c r="S38" i="33"/>
  <c r="F27" i="34"/>
  <c r="F12" i="36"/>
  <c r="W31" i="40"/>
  <c r="W33" i="33"/>
  <c r="U35" i="33"/>
  <c r="S9" i="33"/>
  <c r="F26" i="33"/>
  <c r="S34" i="34"/>
  <c r="U34" i="35"/>
  <c r="W34" i="35"/>
  <c r="AA31" i="36"/>
  <c r="U30" i="37"/>
  <c r="W40" i="39"/>
  <c r="H12" i="21"/>
  <c r="J12" i="21"/>
  <c r="J23" i="35"/>
  <c r="H12" i="36"/>
  <c r="H24" i="36"/>
  <c r="F26" i="37"/>
  <c r="F38" i="40"/>
  <c r="J38" i="40"/>
  <c r="H38" i="40"/>
  <c r="BA550" i="3"/>
  <c r="AZ550" i="3" s="1"/>
  <c r="M20" i="15"/>
  <c r="F34" i="79"/>
  <c r="F62" i="79" s="1"/>
  <c r="M20" i="79"/>
  <c r="AZ132" i="3"/>
  <c r="B75" i="43"/>
  <c r="B66" i="43"/>
  <c r="B55" i="43"/>
  <c r="C29" i="39"/>
  <c r="D29" i="71"/>
  <c r="T29" i="71"/>
  <c r="C17" i="71"/>
  <c r="D16" i="71"/>
  <c r="X12" i="71"/>
  <c r="X13" i="71"/>
  <c r="Y14" i="71"/>
  <c r="Z14" i="71" s="1"/>
  <c r="Y11" i="71"/>
  <c r="Z11" i="71" s="1"/>
  <c r="Y13" i="71"/>
  <c r="Z13" i="71" s="1"/>
  <c r="AB14" i="71"/>
  <c r="AB13" i="71"/>
  <c r="AA15" i="71"/>
  <c r="AA16" i="71"/>
  <c r="AA12" i="71"/>
  <c r="D23" i="71"/>
  <c r="C24" i="71"/>
  <c r="AB19" i="71"/>
  <c r="AB22" i="71"/>
  <c r="C36" i="71"/>
  <c r="D35" i="71"/>
  <c r="D41" i="71"/>
  <c r="T41" i="71"/>
  <c r="C44" i="71"/>
  <c r="D43" i="71"/>
  <c r="D48" i="71"/>
  <c r="C49" i="71"/>
  <c r="S53" i="71"/>
  <c r="B52" i="71"/>
  <c r="T57" i="71"/>
  <c r="C56" i="71"/>
  <c r="D57" i="71"/>
  <c r="T65" i="71"/>
  <c r="C64" i="71"/>
  <c r="V9" i="71"/>
  <c r="E8" i="71"/>
  <c r="E7" i="71" s="1"/>
  <c r="X8" i="71"/>
  <c r="B9" i="71"/>
  <c r="X9" i="71"/>
  <c r="AA6" i="71"/>
  <c r="AA7" i="71"/>
  <c r="AB6" i="71"/>
  <c r="AB5" i="71"/>
  <c r="E19" i="84"/>
  <c r="E19" i="83"/>
  <c r="BL15" i="3"/>
  <c r="F34" i="84"/>
  <c r="F34" i="83"/>
  <c r="G22" i="84"/>
  <c r="G41" i="84"/>
  <c r="G41" i="83"/>
  <c r="G22" i="83"/>
  <c r="G398" i="3"/>
  <c r="BA399" i="3"/>
  <c r="AZ399" i="3" s="1"/>
  <c r="BL400" i="3"/>
  <c r="G401" i="3"/>
  <c r="BL402" i="3"/>
  <c r="G403" i="3"/>
  <c r="BA404" i="3"/>
  <c r="AZ404" i="3" s="1"/>
  <c r="BL406" i="3"/>
  <c r="G407" i="3"/>
  <c r="G408" i="3"/>
  <c r="G409" i="3"/>
  <c r="G411" i="3"/>
  <c r="BL411" i="3"/>
  <c r="G412" i="3"/>
  <c r="BA414" i="3"/>
  <c r="AZ414" i="3" s="1"/>
  <c r="BA416" i="3"/>
  <c r="AZ416" i="3" s="1"/>
  <c r="G418" i="3"/>
  <c r="G419" i="3"/>
  <c r="BL420" i="3"/>
  <c r="G421" i="3"/>
  <c r="BA422" i="3"/>
  <c r="BL422" i="3"/>
  <c r="G423" i="3"/>
  <c r="BL424" i="3"/>
  <c r="G425" i="3"/>
  <c r="BA426" i="3"/>
  <c r="AZ426" i="3" s="1"/>
  <c r="BA428" i="3"/>
  <c r="BL428" i="3"/>
  <c r="BA429" i="3"/>
  <c r="AZ429" i="3" s="1"/>
  <c r="BA431" i="3"/>
  <c r="AZ431" i="3" s="1"/>
  <c r="BA432" i="3"/>
  <c r="BL432" i="3"/>
  <c r="BA434" i="3"/>
  <c r="BL434" i="3"/>
  <c r="G435" i="3"/>
  <c r="BA436" i="3"/>
  <c r="AZ436" i="3" s="1"/>
  <c r="BA437" i="3"/>
  <c r="AZ437" i="3" s="1"/>
  <c r="BA438" i="3"/>
  <c r="AZ438" i="3" s="1"/>
  <c r="BL439" i="3"/>
  <c r="G440" i="3"/>
  <c r="G441" i="3"/>
  <c r="BA442" i="3"/>
  <c r="AZ442" i="3" s="1"/>
  <c r="BA443" i="3"/>
  <c r="AZ443" i="3" s="1"/>
  <c r="BL444" i="3"/>
  <c r="G445" i="3"/>
  <c r="G446" i="3"/>
  <c r="G447" i="3"/>
  <c r="G450" i="3"/>
  <c r="BA451" i="3"/>
  <c r="AZ451" i="3" s="1"/>
  <c r="BL452" i="3"/>
  <c r="G453" i="3"/>
  <c r="G454" i="3"/>
  <c r="G455" i="3"/>
  <c r="BL455" i="3"/>
  <c r="G456" i="3"/>
  <c r="G457" i="3"/>
  <c r="G458" i="3"/>
  <c r="G459" i="3"/>
  <c r="G460" i="3"/>
  <c r="BA461" i="3"/>
  <c r="AZ461" i="3" s="1"/>
  <c r="BA462" i="3"/>
  <c r="AZ462" i="3" s="1"/>
  <c r="BA464" i="3"/>
  <c r="AZ464" i="3" s="1"/>
  <c r="BA465" i="3"/>
  <c r="AZ465" i="3" s="1"/>
  <c r="BA467" i="3"/>
  <c r="AZ467" i="3" s="1"/>
  <c r="BA470" i="3"/>
  <c r="AZ470" i="3" s="1"/>
  <c r="BL471" i="3"/>
  <c r="G472" i="3"/>
  <c r="G473" i="3"/>
  <c r="BL474" i="3"/>
  <c r="G475" i="3"/>
  <c r="BL476" i="3"/>
  <c r="G477" i="3"/>
  <c r="BA478" i="3"/>
  <c r="AZ478" i="3" s="1"/>
  <c r="BA480" i="3"/>
  <c r="AZ480" i="3" s="1"/>
  <c r="BA481" i="3"/>
  <c r="AZ481" i="3" s="1"/>
  <c r="BL482" i="3"/>
  <c r="G483" i="3"/>
  <c r="G484" i="3"/>
  <c r="G311" i="3"/>
  <c r="BL312" i="3"/>
  <c r="AZ312" i="3" s="1"/>
  <c r="G313" i="3"/>
  <c r="BA315" i="3"/>
  <c r="BL317" i="3"/>
  <c r="G318" i="3"/>
  <c r="BA319" i="3"/>
  <c r="BA323" i="3"/>
  <c r="G329" i="3"/>
  <c r="BL330" i="3"/>
  <c r="AZ330" i="3" s="1"/>
  <c r="G331" i="3"/>
  <c r="BA332" i="3"/>
  <c r="AZ332" i="3" s="1"/>
  <c r="BA333" i="3"/>
  <c r="AZ333" i="3" s="1"/>
  <c r="G339" i="3"/>
  <c r="G349" i="3"/>
  <c r="BL350" i="3"/>
  <c r="G351" i="3"/>
  <c r="BA352" i="3"/>
  <c r="BL354" i="3"/>
  <c r="BA358" i="3"/>
  <c r="G364" i="3"/>
  <c r="BL365" i="3"/>
  <c r="AZ365" i="3" s="1"/>
  <c r="G366" i="3"/>
  <c r="BA367" i="3"/>
  <c r="AZ367" i="3" s="1"/>
  <c r="BA368" i="3"/>
  <c r="BL368" i="3"/>
  <c r="G369" i="3"/>
  <c r="G378" i="3"/>
  <c r="G380" i="3"/>
  <c r="G384" i="3"/>
  <c r="BL386" i="3"/>
  <c r="AZ386" i="3" s="1"/>
  <c r="G387" i="3"/>
  <c r="BA395" i="3"/>
  <c r="AZ395" i="3" s="1"/>
  <c r="BA396" i="3"/>
  <c r="AZ396" i="3" s="1"/>
  <c r="BA397" i="3"/>
  <c r="AZ397" i="3" s="1"/>
  <c r="BA208" i="3"/>
  <c r="BL208" i="3"/>
  <c r="BA210" i="3"/>
  <c r="AZ210" i="3" s="1"/>
  <c r="BA211" i="3"/>
  <c r="BL211" i="3"/>
  <c r="BA212" i="3"/>
  <c r="AZ212" i="3" s="1"/>
  <c r="BA213" i="3"/>
  <c r="AZ213" i="3" s="1"/>
  <c r="BA214" i="3"/>
  <c r="AZ214" i="3" s="1"/>
  <c r="BA215" i="3"/>
  <c r="AZ215" i="3" s="1"/>
  <c r="BA216" i="3"/>
  <c r="AZ216" i="3" s="1"/>
  <c r="BA217" i="3"/>
  <c r="AZ217" i="3" s="1"/>
  <c r="BA219" i="3"/>
  <c r="AZ219" i="3" s="1"/>
  <c r="BA220" i="3"/>
  <c r="BL220" i="3"/>
  <c r="BA221" i="3"/>
  <c r="AZ221" i="3" s="1"/>
  <c r="BA222" i="3"/>
  <c r="AZ222" i="3" s="1"/>
  <c r="BA225" i="3"/>
  <c r="BL225" i="3"/>
  <c r="G226" i="3"/>
  <c r="G227" i="3"/>
  <c r="BA228" i="3"/>
  <c r="AZ228" i="3" s="1"/>
  <c r="BA229" i="3"/>
  <c r="AZ229" i="3" s="1"/>
  <c r="BA231" i="3"/>
  <c r="AZ231" i="3" s="1"/>
  <c r="BA232" i="3"/>
  <c r="AZ232" i="3" s="1"/>
  <c r="BA233" i="3"/>
  <c r="AZ233" i="3" s="1"/>
  <c r="BA234" i="3"/>
  <c r="BL234" i="3"/>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58" i="3"/>
  <c r="AZ258" i="3" s="1"/>
  <c r="BA259" i="3"/>
  <c r="AZ259" i="3" s="1"/>
  <c r="BA260" i="3"/>
  <c r="AZ260"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292" i="3"/>
  <c r="AZ292" i="3" s="1"/>
  <c r="BA293" i="3"/>
  <c r="AZ293" i="3" s="1"/>
  <c r="BA294" i="3"/>
  <c r="AZ294" i="3" s="1"/>
  <c r="BA295" i="3"/>
  <c r="AZ295" i="3" s="1"/>
  <c r="BA296" i="3"/>
  <c r="AZ296" i="3" s="1"/>
  <c r="BA297" i="3"/>
  <c r="AZ297" i="3" s="1"/>
  <c r="BA298" i="3"/>
  <c r="AZ298" i="3" s="1"/>
  <c r="BA299" i="3"/>
  <c r="AZ299" i="3" s="1"/>
  <c r="BA300" i="3"/>
  <c r="AZ300" i="3" s="1"/>
  <c r="BA301" i="3"/>
  <c r="BL301" i="3"/>
  <c r="G302" i="3"/>
  <c r="G114" i="3"/>
  <c r="G115" i="3"/>
  <c r="G119" i="3"/>
  <c r="G122" i="3"/>
  <c r="BL122" i="3"/>
  <c r="G123" i="3"/>
  <c r="G124" i="3"/>
  <c r="BA125" i="3"/>
  <c r="AZ125" i="3" s="1"/>
  <c r="BL126" i="3"/>
  <c r="G127" i="3"/>
  <c r="G130" i="3"/>
  <c r="G131" i="3"/>
  <c r="G132" i="3"/>
  <c r="BA133" i="3"/>
  <c r="AZ133" i="3" s="1"/>
  <c r="BA134" i="3"/>
  <c r="AZ134" i="3" s="1"/>
  <c r="BL135" i="3"/>
  <c r="G136" i="3"/>
  <c r="BA137" i="3"/>
  <c r="AZ137" i="3" s="1"/>
  <c r="BA138" i="3"/>
  <c r="AZ138" i="3" s="1"/>
  <c r="BL139" i="3"/>
  <c r="G140" i="3"/>
  <c r="F3" i="35"/>
  <c r="AA21" i="33"/>
  <c r="P51" i="71"/>
  <c r="D28" i="71"/>
  <c r="AA3" i="71"/>
  <c r="D65" i="71"/>
  <c r="D47" i="71"/>
  <c r="D15" i="71"/>
  <c r="B13" i="71"/>
  <c r="Y10" i="71"/>
  <c r="Z10" i="71" s="1"/>
  <c r="N53" i="71"/>
  <c r="E17" i="71"/>
  <c r="U17" i="71" s="1"/>
  <c r="F15" i="71"/>
  <c r="F16" i="71" s="1"/>
  <c r="F17" i="71" s="1"/>
  <c r="V17" i="71" s="1"/>
  <c r="Y17" i="71"/>
  <c r="Z17" i="71" s="1"/>
  <c r="AB17" i="71"/>
  <c r="C20" i="71"/>
  <c r="D19" i="71"/>
  <c r="AB15" i="71"/>
  <c r="AB18" i="71"/>
  <c r="Y20" i="71"/>
  <c r="Z20" i="71" s="1"/>
  <c r="AA18" i="71"/>
  <c r="AA17" i="71"/>
  <c r="AA20" i="71"/>
  <c r="F23" i="71"/>
  <c r="F24" i="71" s="1"/>
  <c r="F25" i="71" s="1"/>
  <c r="V25" i="71" s="1"/>
  <c r="AC12" i="43"/>
  <c r="AC10" i="43"/>
  <c r="AE12" i="43"/>
  <c r="AE10" i="43"/>
  <c r="AG12" i="43"/>
  <c r="AG10" i="43"/>
  <c r="AI12" i="43"/>
  <c r="AI10" i="43"/>
  <c r="M56" i="9"/>
  <c r="K56" i="9"/>
  <c r="X10" i="71"/>
  <c r="AA10" i="71"/>
  <c r="AA11" i="71"/>
  <c r="P61" i="67"/>
  <c r="P74" i="67"/>
  <c r="AA9" i="71"/>
  <c r="Y7" i="71"/>
  <c r="Z7" i="71" s="1"/>
  <c r="Y8" i="71"/>
  <c r="Z8" i="71" s="1"/>
  <c r="Y6" i="71"/>
  <c r="Z6" i="71" s="1"/>
  <c r="Y3" i="71"/>
  <c r="Z3" i="71" s="1"/>
  <c r="AB7" i="71"/>
  <c r="AB8" i="71"/>
  <c r="X7" i="71"/>
  <c r="BA140" i="3"/>
  <c r="AZ140" i="3" s="1"/>
  <c r="G142" i="3"/>
  <c r="G143" i="3"/>
  <c r="BA144" i="3"/>
  <c r="AZ144" i="3" s="1"/>
  <c r="G146" i="3"/>
  <c r="G147" i="3"/>
  <c r="BA148" i="3"/>
  <c r="AZ148" i="3" s="1"/>
  <c r="BA150" i="3"/>
  <c r="AZ150" i="3" s="1"/>
  <c r="BL153" i="3"/>
  <c r="G154" i="3"/>
  <c r="G158" i="3"/>
  <c r="BL159" i="3"/>
  <c r="BA161" i="3"/>
  <c r="AZ161" i="3" s="1"/>
  <c r="BA162" i="3"/>
  <c r="AZ162" i="3" s="1"/>
  <c r="BL163" i="3"/>
  <c r="BA165" i="3"/>
  <c r="BL165" i="3"/>
  <c r="BA166" i="3"/>
  <c r="AZ166" i="3" s="1"/>
  <c r="BL167" i="3"/>
  <c r="G168" i="3"/>
  <c r="BA169" i="3"/>
  <c r="BL169" i="3"/>
  <c r="G170" i="3"/>
  <c r="BL171" i="3"/>
  <c r="G172" i="3"/>
  <c r="BA173" i="3"/>
  <c r="AZ173" i="3" s="1"/>
  <c r="BL174" i="3"/>
  <c r="G175" i="3"/>
  <c r="BA176" i="3"/>
  <c r="BL178" i="3"/>
  <c r="G179" i="3"/>
  <c r="G183" i="3"/>
  <c r="BL186" i="3"/>
  <c r="G187" i="3"/>
  <c r="G190" i="3"/>
  <c r="G191" i="3"/>
  <c r="BA192" i="3"/>
  <c r="AZ192" i="3" s="1"/>
  <c r="BA194" i="3"/>
  <c r="AZ194" i="3" s="1"/>
  <c r="BL195" i="3"/>
  <c r="G196" i="3"/>
  <c r="BA197" i="3"/>
  <c r="AZ197" i="3" s="1"/>
  <c r="BA198" i="3"/>
  <c r="AZ198" i="3" s="1"/>
  <c r="BL199" i="3"/>
  <c r="AZ199" i="3" s="1"/>
  <c r="G200" i="3"/>
  <c r="BA201" i="3"/>
  <c r="BL201" i="3"/>
  <c r="G202" i="3"/>
  <c r="BL203" i="3"/>
  <c r="G204" i="3"/>
  <c r="BA205" i="3"/>
  <c r="BL205" i="3"/>
  <c r="BA207" i="3"/>
  <c r="AZ207" i="3" s="1"/>
  <c r="BA18" i="3"/>
  <c r="AZ18" i="3" s="1"/>
  <c r="G20" i="3"/>
  <c r="BA21" i="3"/>
  <c r="AZ21" i="3" s="1"/>
  <c r="BL22" i="3"/>
  <c r="G23" i="3"/>
  <c r="G24" i="3"/>
  <c r="BL25" i="3"/>
  <c r="G26" i="3"/>
  <c r="BA27" i="3"/>
  <c r="AZ27" i="3" s="1"/>
  <c r="BA28" i="3"/>
  <c r="AZ28" i="3" s="1"/>
  <c r="G30" i="3"/>
  <c r="BA31" i="3"/>
  <c r="AZ31" i="3" s="1"/>
  <c r="BL32" i="3"/>
  <c r="G33" i="3"/>
  <c r="G34" i="3"/>
  <c r="BA35" i="3"/>
  <c r="AZ35" i="3" s="1"/>
  <c r="BA36" i="3"/>
  <c r="AZ36" i="3" s="1"/>
  <c r="BL37" i="3"/>
  <c r="G38" i="3"/>
  <c r="BL38" i="3"/>
  <c r="G39" i="3"/>
  <c r="G41" i="3"/>
  <c r="G42" i="3"/>
  <c r="G43" i="3"/>
  <c r="G44" i="3"/>
  <c r="BL44" i="3"/>
  <c r="G45" i="3"/>
  <c r="G47" i="3"/>
  <c r="G48" i="3"/>
  <c r="G49" i="3"/>
  <c r="G50" i="3"/>
  <c r="G51" i="3"/>
  <c r="G52" i="3"/>
  <c r="BL53" i="3"/>
  <c r="G54" i="3"/>
  <c r="G55" i="3"/>
  <c r="G56" i="3"/>
  <c r="G58" i="3"/>
  <c r="G59" i="3"/>
  <c r="G60" i="3"/>
  <c r="G61" i="3"/>
  <c r="G62" i="3"/>
  <c r="G63" i="3"/>
  <c r="G65" i="3"/>
  <c r="BL65" i="3"/>
  <c r="G66" i="3"/>
  <c r="BL67" i="3"/>
  <c r="G68" i="3"/>
  <c r="G69" i="3"/>
  <c r="G70" i="3"/>
  <c r="BL71" i="3"/>
  <c r="G72" i="3"/>
  <c r="G74" i="3"/>
  <c r="G75" i="3"/>
  <c r="G76" i="3"/>
  <c r="BL76" i="3"/>
  <c r="G77" i="3"/>
  <c r="BA78" i="3"/>
  <c r="AZ78" i="3" s="1"/>
  <c r="BA79" i="3"/>
  <c r="AZ79" i="3" s="1"/>
  <c r="BA80" i="3"/>
  <c r="AZ80" i="3" s="1"/>
  <c r="BA81" i="3"/>
  <c r="BL81" i="3"/>
  <c r="G82" i="3"/>
  <c r="BA83" i="3"/>
  <c r="AZ83" i="3" s="1"/>
  <c r="BL84" i="3"/>
  <c r="G85" i="3"/>
  <c r="G87" i="3"/>
  <c r="G88" i="3"/>
  <c r="G89" i="3"/>
  <c r="G90" i="3"/>
  <c r="G92" i="3"/>
  <c r="G93" i="3"/>
  <c r="G95" i="3"/>
  <c r="G96" i="3"/>
  <c r="BL97" i="3"/>
  <c r="G98" i="3"/>
  <c r="G99" i="3"/>
  <c r="G101" i="3"/>
  <c r="G102" i="3"/>
  <c r="G103" i="3"/>
  <c r="BL103" i="3"/>
  <c r="G104" i="3"/>
  <c r="G105" i="3"/>
  <c r="G106" i="3"/>
  <c r="BA108" i="3"/>
  <c r="AZ108" i="3" s="1"/>
  <c r="BA109" i="3"/>
  <c r="AZ109" i="3" s="1"/>
  <c r="BA110" i="3"/>
  <c r="AZ110" i="3" s="1"/>
  <c r="BA111" i="3"/>
  <c r="AZ111" i="3" s="1"/>
  <c r="BA112" i="3"/>
  <c r="AZ112" i="3" s="1"/>
  <c r="G1" i="84"/>
  <c r="G1" i="83"/>
  <c r="G1" i="79"/>
  <c r="J51" i="15"/>
  <c r="E11" i="71"/>
  <c r="C11" i="71"/>
  <c r="D11" i="71" s="1"/>
  <c r="D12" i="71"/>
  <c r="AB10" i="71"/>
  <c r="AB12" i="71"/>
  <c r="T13" i="71"/>
  <c r="D13" i="71"/>
  <c r="U13" i="71" s="1"/>
  <c r="Y15" i="71"/>
  <c r="Z15" i="71" s="1"/>
  <c r="AB16" i="71"/>
  <c r="Y19" i="71"/>
  <c r="Z19" i="71" s="1"/>
  <c r="X18" i="71"/>
  <c r="X19" i="71"/>
  <c r="X20" i="71"/>
  <c r="AB20" i="71"/>
  <c r="Y23" i="71"/>
  <c r="Z23" i="71" s="1"/>
  <c r="AA24" i="71"/>
  <c r="AA22" i="71"/>
  <c r="L1" i="73"/>
  <c r="J1" i="73"/>
  <c r="AB9" i="71"/>
  <c r="Z12" i="43"/>
  <c r="Z10" i="43"/>
  <c r="AD12" i="43"/>
  <c r="AD10" i="43"/>
  <c r="AH12" i="43"/>
  <c r="AH10" i="43"/>
  <c r="F8" i="71"/>
  <c r="F7" i="71" s="1"/>
  <c r="C9" i="71"/>
  <c r="Y9" i="71"/>
  <c r="Z9" i="71" s="1"/>
  <c r="AA8" i="71"/>
  <c r="X6" i="71"/>
  <c r="X5" i="71"/>
  <c r="AA5" i="71"/>
  <c r="A24" i="51"/>
  <c r="B18" i="72" s="1"/>
  <c r="K4" i="4"/>
  <c r="B46" i="48" s="1"/>
  <c r="B4" i="72" s="1"/>
  <c r="AB39" i="39"/>
  <c r="AA41" i="39"/>
  <c r="AA32" i="39"/>
  <c r="AC32" i="39"/>
  <c r="U31" i="39"/>
  <c r="S31" i="39"/>
  <c r="W29" i="39"/>
  <c r="U29" i="39"/>
  <c r="S29" i="39"/>
  <c r="AB27" i="39"/>
  <c r="W27" i="39"/>
  <c r="U25" i="39"/>
  <c r="AB23" i="39"/>
  <c r="S21" i="39"/>
  <c r="U21" i="39"/>
  <c r="F19" i="39"/>
  <c r="AA19" i="39" s="1"/>
  <c r="F93" i="39"/>
  <c r="G93" i="39" s="1"/>
  <c r="H19" i="39"/>
  <c r="AB19" i="39" s="1"/>
  <c r="J19" i="39"/>
  <c r="AC19" i="39" s="1"/>
  <c r="H17" i="39"/>
  <c r="F17" i="39"/>
  <c r="AA17" i="39" s="1"/>
  <c r="J17" i="39"/>
  <c r="W19" i="39"/>
  <c r="S19" i="39"/>
  <c r="S17" i="39"/>
  <c r="F81" i="39"/>
  <c r="B4" i="62"/>
  <c r="B71" i="72" s="1"/>
  <c r="D5" i="43"/>
  <c r="C5" i="43"/>
  <c r="P61" i="15"/>
  <c r="D22" i="67"/>
  <c r="F29" i="6"/>
  <c r="AZ412" i="3"/>
  <c r="AZ209" i="3"/>
  <c r="AZ218" i="3"/>
  <c r="AZ224" i="3"/>
  <c r="AZ235" i="3"/>
  <c r="AZ135" i="3"/>
  <c r="AZ139" i="3"/>
  <c r="AZ203" i="3"/>
  <c r="AZ206" i="3"/>
  <c r="AZ53" i="3"/>
  <c r="AZ67" i="3"/>
  <c r="AZ71" i="3"/>
  <c r="AZ97" i="3"/>
  <c r="AZ107" i="3"/>
  <c r="AZ234" i="3"/>
  <c r="AZ117" i="3"/>
  <c r="AZ119" i="3"/>
  <c r="AZ39" i="3"/>
  <c r="AZ45" i="3"/>
  <c r="AZ63" i="3"/>
  <c r="AZ66" i="3"/>
  <c r="AZ72" i="3"/>
  <c r="AZ85" i="3"/>
  <c r="AZ93" i="3"/>
  <c r="C94" i="9"/>
  <c r="C92" i="9"/>
  <c r="F54" i="9"/>
  <c r="F28" i="15"/>
  <c r="C28" i="15" s="1"/>
  <c r="M18" i="67"/>
  <c r="D68" i="9"/>
  <c r="M18" i="15"/>
  <c r="F32" i="15"/>
  <c r="F60" i="15" s="1"/>
  <c r="F30" i="69"/>
  <c r="F32" i="67"/>
  <c r="F60" i="67" s="1"/>
  <c r="F31" i="12"/>
  <c r="C31" i="12" s="1"/>
  <c r="F28" i="67"/>
  <c r="C28" i="67" s="1"/>
  <c r="F30" i="11"/>
  <c r="F30" i="68"/>
  <c r="C40" i="68"/>
  <c r="C40" i="69"/>
  <c r="C36" i="69"/>
  <c r="AR8" i="1"/>
  <c r="AZ329" i="3"/>
  <c r="I4" i="6"/>
  <c r="G3" i="43" s="1"/>
  <c r="H22" i="43" s="1"/>
  <c r="E19" i="6"/>
  <c r="K6" i="1" s="1"/>
  <c r="G16" i="1" s="1"/>
  <c r="J10" i="39" s="1"/>
  <c r="AZ347" i="3"/>
  <c r="AZ321" i="3"/>
  <c r="AZ345" i="3"/>
  <c r="AZ325" i="3"/>
  <c r="AZ311" i="3"/>
  <c r="BA398" i="3"/>
  <c r="AZ398" i="3" s="1"/>
  <c r="BA400" i="3"/>
  <c r="AZ400" i="3" s="1"/>
  <c r="BA401" i="3"/>
  <c r="AZ401" i="3" s="1"/>
  <c r="BA402" i="3"/>
  <c r="AZ402" i="3" s="1"/>
  <c r="BA405" i="3"/>
  <c r="AZ405" i="3" s="1"/>
  <c r="BA406" i="3"/>
  <c r="AZ406" i="3" s="1"/>
  <c r="BA413" i="3"/>
  <c r="AZ413" i="3" s="1"/>
  <c r="BA415" i="3"/>
  <c r="AZ415" i="3" s="1"/>
  <c r="BA420" i="3"/>
  <c r="AZ420" i="3" s="1"/>
  <c r="AZ432" i="3"/>
  <c r="AZ434" i="3"/>
  <c r="AZ343" i="3"/>
  <c r="AZ327" i="3"/>
  <c r="AZ403" i="3"/>
  <c r="AZ409" i="3"/>
  <c r="AZ411" i="3"/>
  <c r="BA424" i="3"/>
  <c r="AZ424" i="3" s="1"/>
  <c r="BA435" i="3"/>
  <c r="AZ435" i="3" s="1"/>
  <c r="BA439" i="3"/>
  <c r="AZ439" i="3" s="1"/>
  <c r="BA444" i="3"/>
  <c r="AZ444" i="3" s="1"/>
  <c r="BL449" i="3"/>
  <c r="BL450" i="3"/>
  <c r="BA452" i="3"/>
  <c r="AZ452" i="3" s="1"/>
  <c r="BA471" i="3"/>
  <c r="AZ471" i="3" s="1"/>
  <c r="BA474" i="3"/>
  <c r="AZ474" i="3" s="1"/>
  <c r="BA476" i="3"/>
  <c r="AZ476" i="3" s="1"/>
  <c r="BA477" i="3"/>
  <c r="AZ477" i="3" s="1"/>
  <c r="BA482" i="3"/>
  <c r="AZ482" i="3" s="1"/>
  <c r="BA484" i="3"/>
  <c r="AZ484" i="3" s="1"/>
  <c r="BA303" i="3"/>
  <c r="AZ303" i="3" s="1"/>
  <c r="BA307" i="3"/>
  <c r="AZ307" i="3" s="1"/>
  <c r="BA316" i="3"/>
  <c r="AZ316" i="3" s="1"/>
  <c r="BA317" i="3"/>
  <c r="AZ317" i="3" s="1"/>
  <c r="BA331" i="3"/>
  <c r="AZ331" i="3" s="1"/>
  <c r="BA335" i="3"/>
  <c r="AZ335" i="3" s="1"/>
  <c r="BA339" i="3"/>
  <c r="AZ339" i="3" s="1"/>
  <c r="BA350" i="3"/>
  <c r="AZ350" i="3" s="1"/>
  <c r="BA353" i="3"/>
  <c r="AZ353" i="3" s="1"/>
  <c r="BA354" i="3"/>
  <c r="AZ354" i="3" s="1"/>
  <c r="BA366" i="3"/>
  <c r="AZ366" i="3" s="1"/>
  <c r="BA370" i="3"/>
  <c r="AZ370" i="3" s="1"/>
  <c r="BA374" i="3"/>
  <c r="AZ374" i="3" s="1"/>
  <c r="BA388" i="3"/>
  <c r="AZ388" i="3" s="1"/>
  <c r="BA392" i="3"/>
  <c r="AZ392" i="3" s="1"/>
  <c r="AZ447" i="3"/>
  <c r="AZ455" i="3"/>
  <c r="AZ460" i="3"/>
  <c r="AZ463" i="3"/>
  <c r="AZ466" i="3"/>
  <c r="AZ468" i="3"/>
  <c r="AZ469" i="3"/>
  <c r="AZ479" i="3"/>
  <c r="AZ319" i="3"/>
  <c r="AZ323" i="3"/>
  <c r="AZ352" i="3"/>
  <c r="AZ358" i="3"/>
  <c r="AZ301" i="3"/>
  <c r="AZ230" i="3"/>
  <c r="AZ208" i="3"/>
  <c r="AZ211" i="3"/>
  <c r="AZ220" i="3"/>
  <c r="AZ225" i="3"/>
  <c r="AZ201" i="3"/>
  <c r="BA202" i="3"/>
  <c r="AZ202" i="3" s="1"/>
  <c r="AZ205" i="3"/>
  <c r="AZ195" i="3"/>
  <c r="BL183" i="3"/>
  <c r="BA185" i="3"/>
  <c r="AZ185" i="3" s="1"/>
  <c r="BA196" i="3"/>
  <c r="AZ196" i="3" s="1"/>
  <c r="AZ165" i="3"/>
  <c r="AZ163" i="3"/>
  <c r="L27" i="6"/>
  <c r="F30" i="6"/>
  <c r="AZ179" i="3"/>
  <c r="AZ176" i="3"/>
  <c r="AZ171" i="3"/>
  <c r="BL448" i="3"/>
  <c r="AZ448" i="3" s="1"/>
  <c r="BA168" i="3"/>
  <c r="AZ168" i="3" s="1"/>
  <c r="BL175" i="3"/>
  <c r="AZ175" i="3" s="1"/>
  <c r="BA177" i="3"/>
  <c r="AZ177" i="3" s="1"/>
  <c r="BA178" i="3"/>
  <c r="AZ178" i="3" s="1"/>
  <c r="BL182" i="3"/>
  <c r="AZ182" i="3" s="1"/>
  <c r="BA184" i="3"/>
  <c r="AZ184" i="3" s="1"/>
  <c r="BA186" i="3"/>
  <c r="AZ186" i="3" s="1"/>
  <c r="AZ183" i="3"/>
  <c r="AZ167" i="3"/>
  <c r="BA450" i="3"/>
  <c r="BA188" i="3"/>
  <c r="AZ188" i="3" s="1"/>
  <c r="AZ191" i="3"/>
  <c r="BA449" i="3"/>
  <c r="AZ449" i="3" s="1"/>
  <c r="BA172" i="3"/>
  <c r="AZ172" i="3" s="1"/>
  <c r="BA174" i="3"/>
  <c r="AZ174" i="3" s="1"/>
  <c r="AZ153" i="3"/>
  <c r="BA156" i="3"/>
  <c r="AZ156" i="3" s="1"/>
  <c r="AZ159" i="3"/>
  <c r="AZ143" i="3"/>
  <c r="BA152" i="3"/>
  <c r="AZ152" i="3" s="1"/>
  <c r="BA158" i="3"/>
  <c r="AZ158" i="3" s="1"/>
  <c r="E28" i="6"/>
  <c r="K14" i="1" s="1"/>
  <c r="M14" i="1" s="1"/>
  <c r="O14" i="1" s="1"/>
  <c r="P14" i="1" s="1"/>
  <c r="G29" i="6"/>
  <c r="E29" i="6" s="1"/>
  <c r="K15" i="1" s="1"/>
  <c r="AZ122" i="3"/>
  <c r="AZ127" i="3"/>
  <c r="BA126" i="3"/>
  <c r="AZ126" i="3" s="1"/>
  <c r="AZ115" i="3"/>
  <c r="BA116" i="3"/>
  <c r="AZ116" i="3" s="1"/>
  <c r="AZ103" i="3"/>
  <c r="BA84" i="3"/>
  <c r="AZ84" i="3" s="1"/>
  <c r="AZ90" i="3"/>
  <c r="AZ96" i="3"/>
  <c r="AZ99" i="3"/>
  <c r="AZ81" i="3"/>
  <c r="AZ56" i="3"/>
  <c r="AZ65" i="3"/>
  <c r="AZ70" i="3"/>
  <c r="AZ76" i="3"/>
  <c r="AZ38" i="3"/>
  <c r="AZ44" i="3"/>
  <c r="AZ52" i="3"/>
  <c r="BL5" i="3"/>
  <c r="AZ15" i="3"/>
  <c r="BA22" i="3"/>
  <c r="AZ22" i="3" s="1"/>
  <c r="BA25" i="3"/>
  <c r="AZ25" i="3" s="1"/>
  <c r="BA26" i="3"/>
  <c r="AZ26" i="3" s="1"/>
  <c r="BA30" i="3"/>
  <c r="AZ30" i="3" s="1"/>
  <c r="BA32" i="3"/>
  <c r="AZ32" i="3" s="1"/>
  <c r="BA37" i="3"/>
  <c r="AZ37" i="3" s="1"/>
  <c r="AZ356" i="3"/>
  <c r="M7" i="1"/>
  <c r="AR9" i="1"/>
  <c r="AQ9" i="1"/>
  <c r="AQ11" i="1"/>
  <c r="T11" i="1"/>
  <c r="AR13" i="1"/>
  <c r="T13" i="1"/>
  <c r="AQ10" i="1"/>
  <c r="T10" i="1"/>
  <c r="AR12" i="1"/>
  <c r="T12" i="1"/>
  <c r="T9" i="1"/>
  <c r="AR11" i="1"/>
  <c r="AQ13" i="1"/>
  <c r="AR10" i="1"/>
  <c r="E11" i="6"/>
  <c r="E61" i="39" s="1"/>
  <c r="AZ315" i="3"/>
  <c r="G5" i="3"/>
  <c r="B3" i="3" s="1"/>
  <c r="E157" i="3" s="1"/>
  <c r="C36" i="11"/>
  <c r="E89" i="3"/>
  <c r="E236" i="3"/>
  <c r="E262" i="3"/>
  <c r="E538" i="3"/>
  <c r="E13" i="6"/>
  <c r="E15" i="6"/>
  <c r="E12" i="6"/>
  <c r="E53" i="3"/>
  <c r="E501" i="3"/>
  <c r="E153" i="3"/>
  <c r="E426" i="3"/>
  <c r="E328" i="3"/>
  <c r="E583" i="3"/>
  <c r="X6" i="3"/>
  <c r="E336" i="3"/>
  <c r="E246" i="3"/>
  <c r="E293" i="3"/>
  <c r="E314" i="3"/>
  <c r="E511" i="3"/>
  <c r="E16" i="3"/>
  <c r="AK6" i="3"/>
  <c r="E434" i="3"/>
  <c r="E306" i="3"/>
  <c r="E296" i="3"/>
  <c r="E237" i="3"/>
  <c r="E304" i="3"/>
  <c r="E565" i="3"/>
  <c r="E213" i="3"/>
  <c r="E17" i="3"/>
  <c r="E302" i="3"/>
  <c r="O6" i="3"/>
  <c r="E574" i="3"/>
  <c r="E359" i="3"/>
  <c r="E285" i="3"/>
  <c r="E97" i="3"/>
  <c r="P11" i="1"/>
  <c r="D19" i="12"/>
  <c r="C19" i="12" s="1"/>
  <c r="O12" i="1"/>
  <c r="P12" i="1" s="1"/>
  <c r="B113" i="43"/>
  <c r="G101" i="43"/>
  <c r="C101" i="43"/>
  <c r="J101" i="43"/>
  <c r="N104" i="46"/>
  <c r="L101" i="43"/>
  <c r="H101" i="43"/>
  <c r="G22" i="43"/>
  <c r="F22" i="43"/>
  <c r="K101" i="43"/>
  <c r="F101" i="43"/>
  <c r="N101" i="43"/>
  <c r="E22" i="43"/>
  <c r="O8" i="1"/>
  <c r="P8" i="1" s="1"/>
  <c r="O9" i="1"/>
  <c r="P9" i="1" s="1"/>
  <c r="D12" i="52"/>
  <c r="D127" i="9"/>
  <c r="D13" i="52" s="1"/>
  <c r="G52" i="33"/>
  <c r="H52" i="33" s="1"/>
  <c r="E48" i="33"/>
  <c r="R49" i="33"/>
  <c r="U7" i="33"/>
  <c r="AC7" i="33"/>
  <c r="V48" i="33" s="1"/>
  <c r="I48" i="33" s="1"/>
  <c r="G48" i="35"/>
  <c r="G58" i="21"/>
  <c r="F52" i="37"/>
  <c r="E46" i="36"/>
  <c r="F59" i="34"/>
  <c r="C70" i="39"/>
  <c r="D68" i="39"/>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10" i="70"/>
  <c r="F66" i="67"/>
  <c r="L59" i="67"/>
  <c r="M59" i="67"/>
  <c r="N59" i="67"/>
  <c r="F68" i="15"/>
  <c r="N59" i="15"/>
  <c r="L59" i="15"/>
  <c r="M59" i="15"/>
  <c r="F65" i="15"/>
  <c r="B13" i="70"/>
  <c r="B8" i="70"/>
  <c r="B20" i="31"/>
  <c r="F69" i="67"/>
  <c r="F65" i="67"/>
  <c r="F51" i="67"/>
  <c r="B11" i="70"/>
  <c r="F64" i="15"/>
  <c r="B12" i="70"/>
  <c r="B9" i="70"/>
  <c r="F59" i="15"/>
  <c r="M17" i="15"/>
  <c r="F59" i="67"/>
  <c r="F31" i="15"/>
  <c r="M17" i="67"/>
  <c r="F31" i="67"/>
  <c r="C36" i="68"/>
  <c r="D9" i="68"/>
  <c r="F36" i="67"/>
  <c r="M9" i="67"/>
  <c r="F42" i="67"/>
  <c r="F40" i="67"/>
  <c r="M23" i="67"/>
  <c r="M22" i="67"/>
  <c r="C76" i="67"/>
  <c r="F26" i="15"/>
  <c r="J15" i="15"/>
  <c r="M26" i="15"/>
  <c r="F9" i="15"/>
  <c r="L48" i="15"/>
  <c r="M27" i="15"/>
  <c r="F43" i="15"/>
  <c r="F43" i="67"/>
  <c r="F7" i="15"/>
  <c r="M29" i="67"/>
  <c r="F7" i="67"/>
  <c r="M8" i="67"/>
  <c r="F6" i="67"/>
  <c r="M27" i="67"/>
  <c r="L48" i="67"/>
  <c r="F26" i="67"/>
  <c r="M26" i="67"/>
  <c r="F16" i="67"/>
  <c r="M9" i="15"/>
  <c r="C76" i="15"/>
  <c r="F42" i="15"/>
  <c r="M22" i="15"/>
  <c r="F8" i="15"/>
  <c r="F38" i="15"/>
  <c r="M29" i="15"/>
  <c r="F66" i="15" l="1"/>
  <c r="F51" i="15"/>
  <c r="Q71" i="15"/>
  <c r="C27" i="67"/>
  <c r="L58" i="67"/>
  <c r="Q60" i="67" s="1"/>
  <c r="J57" i="67"/>
  <c r="J55" i="67" s="1"/>
  <c r="J58" i="67" s="1"/>
  <c r="Q50" i="67" s="1"/>
  <c r="L56" i="67"/>
  <c r="I54" i="67"/>
  <c r="J57" i="15"/>
  <c r="J55" i="15" s="1"/>
  <c r="J58" i="15" s="1"/>
  <c r="Q50" i="15" s="1"/>
  <c r="L56" i="15"/>
  <c r="J53" i="15"/>
  <c r="Q52" i="15" s="1"/>
  <c r="I54" i="15"/>
  <c r="L58" i="15"/>
  <c r="Q73" i="15" s="1"/>
  <c r="C27" i="15"/>
  <c r="Q71" i="67"/>
  <c r="F68" i="67"/>
  <c r="F70" i="67"/>
  <c r="F64" i="67"/>
  <c r="E143" i="3"/>
  <c r="E337" i="3"/>
  <c r="E410" i="3"/>
  <c r="E555" i="3"/>
  <c r="E388" i="3"/>
  <c r="E503" i="3"/>
  <c r="E361" i="3"/>
  <c r="E183" i="3"/>
  <c r="E528" i="3"/>
  <c r="E261" i="3"/>
  <c r="E244" i="3"/>
  <c r="E368" i="3"/>
  <c r="E453" i="3"/>
  <c r="E549" i="3"/>
  <c r="E536" i="3"/>
  <c r="I6" i="3"/>
  <c r="E568" i="3"/>
  <c r="E397" i="3"/>
  <c r="E124" i="3"/>
  <c r="E280" i="3"/>
  <c r="E399" i="3"/>
  <c r="AA6" i="3"/>
  <c r="E347" i="3"/>
  <c r="E508" i="3"/>
  <c r="E305" i="3"/>
  <c r="E343" i="3"/>
  <c r="E319" i="3"/>
  <c r="AR6" i="3"/>
  <c r="E380" i="3"/>
  <c r="E136" i="3"/>
  <c r="E269" i="3"/>
  <c r="C8" i="71"/>
  <c r="T9" i="71"/>
  <c r="D9" i="71"/>
  <c r="U9" i="71" s="1"/>
  <c r="AZ169" i="3"/>
  <c r="C21" i="71"/>
  <c r="D20" i="71"/>
  <c r="AZ368" i="3"/>
  <c r="AZ428" i="3"/>
  <c r="AZ422" i="3"/>
  <c r="C55" i="71"/>
  <c r="D55" i="71" s="1"/>
  <c r="D56" i="71"/>
  <c r="N52" i="71"/>
  <c r="B51" i="71"/>
  <c r="D49" i="71"/>
  <c r="T49" i="71"/>
  <c r="C25" i="71"/>
  <c r="D24" i="71"/>
  <c r="AB38" i="40"/>
  <c r="U38" i="40"/>
  <c r="S38" i="40"/>
  <c r="AA38" i="40"/>
  <c r="U24" i="36"/>
  <c r="AB24" i="36"/>
  <c r="W23" i="35"/>
  <c r="AC23" i="35"/>
  <c r="U12" i="21"/>
  <c r="AB12" i="21"/>
  <c r="S12" i="36"/>
  <c r="AA12" i="36"/>
  <c r="S44" i="21"/>
  <c r="AA44" i="21"/>
  <c r="S46" i="21"/>
  <c r="AA46" i="21"/>
  <c r="U27" i="21"/>
  <c r="AB27" i="21"/>
  <c r="AB29" i="21"/>
  <c r="U29" i="21"/>
  <c r="U29" i="34"/>
  <c r="AB29" i="34"/>
  <c r="AA31" i="34"/>
  <c r="S31" i="34"/>
  <c r="AA45" i="34"/>
  <c r="S45" i="34"/>
  <c r="W47" i="34"/>
  <c r="AC47" i="34"/>
  <c r="AB13" i="35"/>
  <c r="U13" i="35"/>
  <c r="U25" i="35"/>
  <c r="AB25" i="35"/>
  <c r="U35" i="35"/>
  <c r="AB35" i="35"/>
  <c r="W13" i="37"/>
  <c r="AC13" i="37"/>
  <c r="C30" i="84"/>
  <c r="C48" i="84"/>
  <c r="AB27" i="33"/>
  <c r="U27" i="33"/>
  <c r="U32" i="39"/>
  <c r="AB32" i="39"/>
  <c r="U39" i="40"/>
  <c r="AB39" i="40"/>
  <c r="G63" i="40"/>
  <c r="F65" i="40"/>
  <c r="B12" i="71"/>
  <c r="B11" i="71" s="1"/>
  <c r="S13" i="71"/>
  <c r="B8" i="71"/>
  <c r="B7" i="71" s="1"/>
  <c r="B6" i="71" s="1"/>
  <c r="B5" i="71" s="1"/>
  <c r="S9" i="71"/>
  <c r="D64" i="71"/>
  <c r="C63" i="71"/>
  <c r="D63" i="71" s="1"/>
  <c r="C45" i="71"/>
  <c r="D44" i="71"/>
  <c r="C37" i="71"/>
  <c r="D36" i="71"/>
  <c r="D17" i="71"/>
  <c r="T17" i="71"/>
  <c r="AC38" i="40"/>
  <c r="W38" i="40"/>
  <c r="AA26" i="37"/>
  <c r="S26" i="37"/>
  <c r="U12" i="36"/>
  <c r="AB12" i="36"/>
  <c r="W12" i="21"/>
  <c r="AC12" i="21"/>
  <c r="S26" i="33"/>
  <c r="AA26" i="33"/>
  <c r="AA27" i="34"/>
  <c r="S27" i="34"/>
  <c r="AB44" i="21"/>
  <c r="U44" i="21"/>
  <c r="W46" i="21"/>
  <c r="AC46" i="21"/>
  <c r="W13" i="21"/>
  <c r="AC13" i="21"/>
  <c r="AA27" i="21"/>
  <c r="S27" i="21"/>
  <c r="AA30" i="33"/>
  <c r="S30" i="33"/>
  <c r="U31" i="34"/>
  <c r="AB31" i="34"/>
  <c r="AC45" i="34"/>
  <c r="W45" i="34"/>
  <c r="AA47" i="34"/>
  <c r="S47" i="34"/>
  <c r="W13" i="35"/>
  <c r="AC13" i="35"/>
  <c r="S25" i="35"/>
  <c r="AA25" i="35"/>
  <c r="S35" i="35"/>
  <c r="AA35" i="35"/>
  <c r="S13" i="37"/>
  <c r="AA13" i="37"/>
  <c r="E8" i="6"/>
  <c r="E14" i="6"/>
  <c r="E10" i="6"/>
  <c r="AA12" i="33"/>
  <c r="S12" i="33"/>
  <c r="C48" i="83"/>
  <c r="C30" i="83"/>
  <c r="U9" i="35"/>
  <c r="AB9" i="35"/>
  <c r="W27" i="33"/>
  <c r="AC27" i="33"/>
  <c r="AC39" i="40"/>
  <c r="W39" i="40"/>
  <c r="H14" i="74"/>
  <c r="B7" i="74" s="1"/>
  <c r="D10" i="52"/>
  <c r="D125" i="9"/>
  <c r="D11" i="52" s="1"/>
  <c r="D17" i="53"/>
  <c r="B36" i="72" s="1"/>
  <c r="B34" i="72"/>
  <c r="O7" i="1"/>
  <c r="C9" i="68"/>
  <c r="I101" i="43"/>
  <c r="D22" i="43"/>
  <c r="AE11" i="43"/>
  <c r="AE13" i="43" s="1"/>
  <c r="U19" i="39"/>
  <c r="W17" i="39"/>
  <c r="AC17" i="39"/>
  <c r="AB17" i="39"/>
  <c r="U17" i="39"/>
  <c r="G81" i="39"/>
  <c r="H81" i="39" s="1"/>
  <c r="I81" i="39" s="1"/>
  <c r="J81" i="39" s="1"/>
  <c r="K81" i="39" s="1"/>
  <c r="L81" i="39" s="1"/>
  <c r="M81" i="39" s="1"/>
  <c r="Z7" i="43"/>
  <c r="D101" i="43"/>
  <c r="AH11" i="43"/>
  <c r="AH13" i="43" s="1"/>
  <c r="E530" i="3"/>
  <c r="E175" i="3"/>
  <c r="E533" i="3"/>
  <c r="E561" i="3"/>
  <c r="E439" i="3"/>
  <c r="E231" i="3"/>
  <c r="E196" i="3"/>
  <c r="E156" i="3"/>
  <c r="E148" i="3"/>
  <c r="E122" i="3"/>
  <c r="E151" i="3"/>
  <c r="E201" i="3"/>
  <c r="E229" i="3"/>
  <c r="E247" i="3"/>
  <c r="E396" i="3"/>
  <c r="E431" i="3"/>
  <c r="E569" i="3"/>
  <c r="E579" i="3"/>
  <c r="E516" i="3"/>
  <c r="E509" i="3"/>
  <c r="E239" i="3"/>
  <c r="E535" i="3"/>
  <c r="E550" i="3"/>
  <c r="E445" i="3"/>
  <c r="E260" i="3"/>
  <c r="E172" i="3"/>
  <c r="E395" i="3"/>
  <c r="E563" i="3"/>
  <c r="E415" i="3"/>
  <c r="E278" i="3"/>
  <c r="E114" i="3"/>
  <c r="E69"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90" i="3"/>
  <c r="S6" i="3"/>
  <c r="E523" i="3"/>
  <c r="E506" i="3"/>
  <c r="E418" i="3"/>
  <c r="E338" i="3"/>
  <c r="E321" i="3"/>
  <c r="E301" i="3"/>
  <c r="E245" i="3"/>
  <c r="E159" i="3"/>
  <c r="E191" i="3"/>
  <c r="E99" i="3"/>
  <c r="E188" i="3"/>
  <c r="E228" i="3"/>
  <c r="E181" i="3"/>
  <c r="BA5" i="3"/>
  <c r="F50" i="15"/>
  <c r="M7" i="15"/>
  <c r="J6" i="15" s="1"/>
  <c r="C6" i="15"/>
  <c r="F71" i="15"/>
  <c r="M7" i="67"/>
  <c r="J6" i="67" s="1"/>
  <c r="F50" i="67"/>
  <c r="C49" i="67" s="1"/>
  <c r="C6" i="67"/>
  <c r="F71" i="67"/>
  <c r="M6" i="1"/>
  <c r="M16" i="1" s="1"/>
  <c r="C30" i="68"/>
  <c r="C48" i="68"/>
  <c r="C48" i="11"/>
  <c r="C30" i="11"/>
  <c r="C48" i="69"/>
  <c r="C30" i="69"/>
  <c r="P7" i="1"/>
  <c r="H16" i="1"/>
  <c r="Q16" i="1"/>
  <c r="F27" i="11" s="1"/>
  <c r="AC11" i="43"/>
  <c r="AC13" i="43" s="1"/>
  <c r="AF11" i="43"/>
  <c r="AF13" i="43" s="1"/>
  <c r="Z11" i="43"/>
  <c r="Z13" i="43" s="1"/>
  <c r="M101" i="43"/>
  <c r="M107" i="43" s="1"/>
  <c r="Y11" i="43"/>
  <c r="Y13" i="43" s="1"/>
  <c r="AG11" i="43"/>
  <c r="AG13" i="43" s="1"/>
  <c r="AB11" i="43"/>
  <c r="AB13" i="43" s="1"/>
  <c r="AJ11" i="43"/>
  <c r="AJ13" i="43" s="1"/>
  <c r="J22" i="43"/>
  <c r="AA11" i="43"/>
  <c r="AA13" i="43" s="1"/>
  <c r="AI11" i="43"/>
  <c r="AI13" i="43" s="1"/>
  <c r="AD11" i="43"/>
  <c r="AD13" i="43" s="1"/>
  <c r="E101" i="43"/>
  <c r="E107" i="43" s="1"/>
  <c r="AZ450" i="3"/>
  <c r="AZ5" i="3" s="1"/>
  <c r="G30" i="6"/>
  <c r="G31" i="6" s="1"/>
  <c r="C34" i="69"/>
  <c r="K16" i="1"/>
  <c r="E30" i="6"/>
  <c r="E56" i="40"/>
  <c r="E27" i="6"/>
  <c r="K22" i="6" s="1"/>
  <c r="M22" i="6" s="1"/>
  <c r="I22" i="6" s="1"/>
  <c r="S22" i="6" s="1"/>
  <c r="E16" i="6"/>
  <c r="I109" i="43"/>
  <c r="I102" i="43"/>
  <c r="I106" i="43"/>
  <c r="I103" i="43"/>
  <c r="I107" i="43"/>
  <c r="I105" i="43"/>
  <c r="I104" i="43"/>
  <c r="D109" i="43"/>
  <c r="D103" i="43"/>
  <c r="D104" i="43"/>
  <c r="D107" i="43"/>
  <c r="D105" i="43"/>
  <c r="D106" i="43"/>
  <c r="D102" i="43"/>
  <c r="M109" i="43"/>
  <c r="E270" i="3"/>
  <c r="E358" i="3"/>
  <c r="E559" i="3"/>
  <c r="E551" i="3"/>
  <c r="V6" i="3"/>
  <c r="E407" i="3"/>
  <c r="E320" i="3"/>
  <c r="E294" i="3"/>
  <c r="E298" i="3"/>
  <c r="E216" i="3"/>
  <c r="E169" i="3"/>
  <c r="E185" i="3"/>
  <c r="E61" i="3"/>
  <c r="E135" i="3"/>
  <c r="E290" i="3"/>
  <c r="E161" i="3"/>
  <c r="E117" i="3"/>
  <c r="E514" i="3"/>
  <c r="E570" i="3"/>
  <c r="M6" i="3"/>
  <c r="AB6" i="3"/>
  <c r="E387" i="3"/>
  <c r="E335" i="3"/>
  <c r="E215" i="3"/>
  <c r="E230" i="3"/>
  <c r="E189" i="3"/>
  <c r="E130" i="3"/>
  <c r="E134" i="3"/>
  <c r="E254" i="3"/>
  <c r="E91" i="3"/>
  <c r="E221" i="3"/>
  <c r="E180" i="3"/>
  <c r="E149" i="3"/>
  <c r="E207" i="3"/>
  <c r="E77" i="3"/>
  <c r="E252" i="3"/>
  <c r="E212" i="3"/>
  <c r="E271" i="3"/>
  <c r="E253" i="3"/>
  <c r="E204" i="3"/>
  <c r="E167" i="3"/>
  <c r="E145" i="3"/>
  <c r="E199" i="3"/>
  <c r="E164" i="3"/>
  <c r="E141" i="3"/>
  <c r="E107"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76" i="3"/>
  <c r="E110" i="3"/>
  <c r="E59" i="3"/>
  <c r="E540" i="3"/>
  <c r="E462" i="3"/>
  <c r="E521" i="3"/>
  <c r="E446" i="3"/>
  <c r="E47" i="3"/>
  <c r="E98" i="3"/>
  <c r="E65" i="3"/>
  <c r="E138" i="3"/>
  <c r="E195" i="3"/>
  <c r="E163" i="3"/>
  <c r="E248"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9" i="3"/>
  <c r="E29" i="3"/>
  <c r="E480" i="3"/>
  <c r="E441"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11" i="3"/>
  <c r="E327" i="3"/>
  <c r="E60" i="40"/>
  <c r="E65" i="39"/>
  <c r="E58" i="40"/>
  <c r="E63" i="39"/>
  <c r="E57" i="40"/>
  <c r="E62" i="39"/>
  <c r="F10" i="40"/>
  <c r="S10" i="40" s="1"/>
  <c r="AC6" i="3"/>
  <c r="C107" i="43"/>
  <c r="C103" i="43"/>
  <c r="C104" i="43"/>
  <c r="C106" i="43"/>
  <c r="C109"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H102" i="43"/>
  <c r="H103" i="43"/>
  <c r="H104" i="43"/>
  <c r="H109" i="43"/>
  <c r="H107" i="43"/>
  <c r="H106" i="43"/>
  <c r="H105" i="43"/>
  <c r="F104" i="43"/>
  <c r="F102" i="43"/>
  <c r="F105" i="43"/>
  <c r="F109" i="43"/>
  <c r="F106" i="43"/>
  <c r="F103" i="43"/>
  <c r="F107" i="43"/>
  <c r="L106" i="43"/>
  <c r="L107" i="43"/>
  <c r="L103" i="43"/>
  <c r="L109" i="43"/>
  <c r="L102" i="43"/>
  <c r="L105" i="43"/>
  <c r="L104" i="43"/>
  <c r="J107" i="43"/>
  <c r="J102" i="43"/>
  <c r="J109" i="43"/>
  <c r="J104" i="43"/>
  <c r="J105" i="43"/>
  <c r="J103" i="43"/>
  <c r="J106" i="43"/>
  <c r="G107" i="43"/>
  <c r="G104" i="43"/>
  <c r="G106" i="43"/>
  <c r="G105" i="43"/>
  <c r="G103" i="43"/>
  <c r="G109" i="43"/>
  <c r="G102" i="43"/>
  <c r="J10" i="40"/>
  <c r="H10" i="40"/>
  <c r="F10" i="39"/>
  <c r="H10" i="39"/>
  <c r="G59" i="34"/>
  <c r="H58" i="21"/>
  <c r="I52" i="33"/>
  <c r="J52" i="33" s="1"/>
  <c r="I53" i="33"/>
  <c r="J53" i="33" s="1"/>
  <c r="C49" i="33"/>
  <c r="C48" i="33"/>
  <c r="G53" i="33"/>
  <c r="H53" i="33" s="1"/>
  <c r="AC10" i="39"/>
  <c r="W10" i="39"/>
  <c r="E68" i="39"/>
  <c r="D70" i="39"/>
  <c r="F46" i="36"/>
  <c r="G46" i="36" s="1"/>
  <c r="H46" i="36" s="1"/>
  <c r="I46" i="36" s="1"/>
  <c r="J46" i="36" s="1"/>
  <c r="K46" i="36" s="1"/>
  <c r="L46" i="36" s="1"/>
  <c r="M46" i="36" s="1"/>
  <c r="N46" i="36" s="1"/>
  <c r="O46" i="36" s="1"/>
  <c r="J7" i="36"/>
  <c r="G52" i="37"/>
  <c r="H52" i="37" s="1"/>
  <c r="I52" i="37" s="1"/>
  <c r="J52" i="37" s="1"/>
  <c r="K52" i="37" s="1"/>
  <c r="L52" i="37" s="1"/>
  <c r="M52" i="37" s="1"/>
  <c r="N52" i="37" s="1"/>
  <c r="O52" i="37" s="1"/>
  <c r="H7" i="37"/>
  <c r="F7" i="37"/>
  <c r="H48" i="35"/>
  <c r="E53" i="33"/>
  <c r="F53" i="33" s="1"/>
  <c r="E52" i="33"/>
  <c r="F52" i="33" s="1"/>
  <c r="P25" i="43"/>
  <c r="Q73" i="67"/>
  <c r="Q74" i="15"/>
  <c r="Q61" i="15"/>
  <c r="Q61" i="67"/>
  <c r="Q74" i="67"/>
  <c r="F7" i="73"/>
  <c r="F6" i="73"/>
  <c r="F5" i="73"/>
  <c r="F27" i="83"/>
  <c r="D9" i="83"/>
  <c r="D5" i="73"/>
  <c r="D3" i="73"/>
  <c r="C76" i="79"/>
  <c r="F8" i="79"/>
  <c r="F37" i="79"/>
  <c r="J15" i="79"/>
  <c r="M6" i="79"/>
  <c r="F40" i="79"/>
  <c r="F36" i="79"/>
  <c r="M23" i="79"/>
  <c r="M8" i="79"/>
  <c r="F42" i="79"/>
  <c r="M22" i="79"/>
  <c r="F26" i="79"/>
  <c r="F7" i="79"/>
  <c r="M29" i="79"/>
  <c r="C36" i="84"/>
  <c r="C16" i="67"/>
  <c r="C16" i="15"/>
  <c r="F3" i="73"/>
  <c r="F4" i="73"/>
  <c r="C36" i="83"/>
  <c r="D4" i="73"/>
  <c r="D7" i="73"/>
  <c r="D6" i="73"/>
  <c r="F9" i="79"/>
  <c r="M9" i="79"/>
  <c r="L48" i="79"/>
  <c r="F38" i="79"/>
  <c r="M26" i="79"/>
  <c r="F13" i="79"/>
  <c r="L47" i="79"/>
  <c r="M24" i="79"/>
  <c r="M27" i="79"/>
  <c r="F16" i="79"/>
  <c r="F6" i="79"/>
  <c r="M28" i="79"/>
  <c r="F43" i="79"/>
  <c r="D9" i="84"/>
  <c r="F27" i="84"/>
  <c r="Q60" i="15" l="1"/>
  <c r="F1" i="15"/>
  <c r="C49" i="15"/>
  <c r="C29" i="84"/>
  <c r="D27" i="84" s="1"/>
  <c r="C47" i="84"/>
  <c r="D45" i="84" s="1"/>
  <c r="C9" i="84"/>
  <c r="F71" i="79"/>
  <c r="C6" i="79"/>
  <c r="N59" i="79"/>
  <c r="L58" i="79"/>
  <c r="L59" i="79"/>
  <c r="M59" i="79"/>
  <c r="F66" i="79"/>
  <c r="L56" i="79"/>
  <c r="L57" i="79"/>
  <c r="L60" i="79"/>
  <c r="I54" i="79"/>
  <c r="J60" i="79"/>
  <c r="Q48" i="79" s="1"/>
  <c r="J53" i="79"/>
  <c r="J59" i="79"/>
  <c r="J57" i="79"/>
  <c r="J55" i="79" s="1"/>
  <c r="J58" i="79" s="1"/>
  <c r="Q50" i="79" s="1"/>
  <c r="K1" i="73"/>
  <c r="E20" i="43"/>
  <c r="I1" i="73"/>
  <c r="B39" i="1" s="1"/>
  <c r="F50" i="79"/>
  <c r="M7" i="79"/>
  <c r="J6" i="79" s="1"/>
  <c r="C27" i="79"/>
  <c r="F64" i="79"/>
  <c r="F68" i="79"/>
  <c r="F65" i="79"/>
  <c r="F51" i="79"/>
  <c r="Q71" i="79"/>
  <c r="C9" i="83"/>
  <c r="C29" i="83"/>
  <c r="D27" i="83" s="1"/>
  <c r="C47" i="83"/>
  <c r="D45" i="83" s="1"/>
  <c r="E51" i="40"/>
  <c r="F27" i="6"/>
  <c r="F31" i="6" s="1"/>
  <c r="E56" i="39"/>
  <c r="D37" i="71"/>
  <c r="T37" i="71"/>
  <c r="D45" i="71"/>
  <c r="T45" i="71"/>
  <c r="H63" i="40"/>
  <c r="G65" i="40"/>
  <c r="D25" i="71"/>
  <c r="T25" i="71"/>
  <c r="C7" i="71"/>
  <c r="D8" i="71"/>
  <c r="E64" i="39"/>
  <c r="E59" i="40"/>
  <c r="N51" i="71"/>
  <c r="N50" i="71"/>
  <c r="D21" i="71"/>
  <c r="T21" i="71"/>
  <c r="C34" i="11"/>
  <c r="C35" i="11" s="1"/>
  <c r="N16" i="1"/>
  <c r="K21" i="6"/>
  <c r="M21" i="6" s="1"/>
  <c r="I21" i="6" s="1"/>
  <c r="S21" i="6" s="1"/>
  <c r="M102" i="43"/>
  <c r="AA10" i="40"/>
  <c r="K25" i="6"/>
  <c r="M25" i="6" s="1"/>
  <c r="I25" i="6" s="1"/>
  <c r="S25" i="6" s="1"/>
  <c r="M103" i="43"/>
  <c r="M106" i="43"/>
  <c r="M104" i="43"/>
  <c r="M105" i="43"/>
  <c r="L16" i="1"/>
  <c r="O6" i="1"/>
  <c r="E102" i="43"/>
  <c r="C47" i="11"/>
  <c r="D45" i="11" s="1"/>
  <c r="C29" i="11"/>
  <c r="D27" i="11" s="1"/>
  <c r="K26" i="6"/>
  <c r="M26" i="6" s="1"/>
  <c r="I26" i="6" s="1"/>
  <c r="S26" i="6" s="1"/>
  <c r="E106" i="43"/>
  <c r="F27" i="69"/>
  <c r="F28" i="12"/>
  <c r="C29" i="12" s="1"/>
  <c r="D28" i="12" s="1"/>
  <c r="K23" i="6"/>
  <c r="M23" i="6" s="1"/>
  <c r="I23" i="6" s="1"/>
  <c r="S23" i="6" s="1"/>
  <c r="K19" i="6"/>
  <c r="S6" i="1" s="1"/>
  <c r="E109" i="43"/>
  <c r="E103" i="43"/>
  <c r="E104" i="43"/>
  <c r="E31" i="6"/>
  <c r="E105" i="43"/>
  <c r="AY6" i="3"/>
  <c r="AY566" i="3" s="1"/>
  <c r="E3" i="6"/>
  <c r="L18" i="9" s="1"/>
  <c r="C38" i="69"/>
  <c r="C35" i="69"/>
  <c r="K20" i="6"/>
  <c r="K24" i="6"/>
  <c r="M24" i="6" s="1"/>
  <c r="I24" i="6" s="1"/>
  <c r="S24" i="6" s="1"/>
  <c r="M18" i="9"/>
  <c r="B118" i="9" s="1"/>
  <c r="B14" i="74" s="1"/>
  <c r="B1" i="74" s="1"/>
  <c r="C8" i="74" s="1"/>
  <c r="E6" i="6"/>
  <c r="E6" i="3"/>
  <c r="C115" i="43"/>
  <c r="D113" i="43" s="1"/>
  <c r="F50" i="11"/>
  <c r="AB10" i="39"/>
  <c r="U10" i="39"/>
  <c r="AB10" i="40"/>
  <c r="U10" i="40"/>
  <c r="S10" i="39"/>
  <c r="AA10" i="39"/>
  <c r="W10" i="40"/>
  <c r="AC10" i="40"/>
  <c r="S7" i="37"/>
  <c r="AA7" i="37"/>
  <c r="R42" i="37" s="1"/>
  <c r="F7" i="36"/>
  <c r="I58" i="21"/>
  <c r="I48" i="35"/>
  <c r="J48" i="35" s="1"/>
  <c r="K48" i="35" s="1"/>
  <c r="L48" i="35" s="1"/>
  <c r="M48" i="35" s="1"/>
  <c r="N48" i="35" s="1"/>
  <c r="O48" i="35" s="1"/>
  <c r="F7" i="35"/>
  <c r="U7" i="37"/>
  <c r="AB7" i="37"/>
  <c r="T42" i="37" s="1"/>
  <c r="G42" i="37" s="1"/>
  <c r="W7" i="36"/>
  <c r="AC7" i="36"/>
  <c r="V36" i="36" s="1"/>
  <c r="I36" i="36" s="1"/>
  <c r="E70" i="39"/>
  <c r="F68" i="39"/>
  <c r="H59" i="34"/>
  <c r="I59" i="34" s="1"/>
  <c r="J59" i="34" s="1"/>
  <c r="K59" i="34" s="1"/>
  <c r="L59" i="34" s="1"/>
  <c r="M59" i="34" s="1"/>
  <c r="N59" i="34" s="1"/>
  <c r="O59" i="34" s="1"/>
  <c r="F7" i="34"/>
  <c r="J7" i="34"/>
  <c r="H7" i="36"/>
  <c r="J7" i="37"/>
  <c r="F27" i="68"/>
  <c r="AE6" i="1"/>
  <c r="C16" i="79"/>
  <c r="D10" i="83"/>
  <c r="G1" i="73"/>
  <c r="F41" i="15"/>
  <c r="B40" i="1" l="1"/>
  <c r="C10" i="83"/>
  <c r="D19" i="83"/>
  <c r="D7" i="71"/>
  <c r="C6" i="71"/>
  <c r="I63" i="40"/>
  <c r="H65" i="40"/>
  <c r="F11" i="79"/>
  <c r="M11" i="15"/>
  <c r="J10" i="15" s="1"/>
  <c r="J5" i="15" s="1"/>
  <c r="J18" i="15" s="1"/>
  <c r="F11" i="15"/>
  <c r="M11" i="79"/>
  <c r="J10" i="79" s="1"/>
  <c r="J5" i="79" s="1"/>
  <c r="F11" i="67"/>
  <c r="M11" i="67"/>
  <c r="J10" i="67" s="1"/>
  <c r="J5" i="67" s="1"/>
  <c r="J24" i="67" s="1"/>
  <c r="L46" i="79"/>
  <c r="Q74" i="79"/>
  <c r="Q61" i="79"/>
  <c r="F50" i="69"/>
  <c r="F50" i="84"/>
  <c r="F50" i="83"/>
  <c r="C49" i="79"/>
  <c r="P17" i="43"/>
  <c r="N17" i="43"/>
  <c r="M17" i="43"/>
  <c r="O17" i="43"/>
  <c r="F1" i="79"/>
  <c r="Q52" i="79"/>
  <c r="Q57" i="79"/>
  <c r="Q66" i="79"/>
  <c r="Q73" i="79"/>
  <c r="Q60" i="79"/>
  <c r="AY246" i="3"/>
  <c r="F69" i="15"/>
  <c r="S4" i="43"/>
  <c r="S7" i="43"/>
  <c r="S2" i="43"/>
  <c r="S6" i="43"/>
  <c r="S3" i="43"/>
  <c r="C23" i="43"/>
  <c r="C21" i="43" s="1"/>
  <c r="S5" i="43"/>
  <c r="F50" i="68"/>
  <c r="AY188" i="3"/>
  <c r="AY60" i="3"/>
  <c r="AY436" i="3"/>
  <c r="AY250" i="3"/>
  <c r="AY28" i="3"/>
  <c r="AY252" i="3"/>
  <c r="AY384" i="3"/>
  <c r="AY530" i="3"/>
  <c r="AY149" i="3"/>
  <c r="AY59" i="3"/>
  <c r="AY228" i="3"/>
  <c r="AY139" i="3"/>
  <c r="AY43" i="3"/>
  <c r="AY69" i="3"/>
  <c r="AY388" i="3"/>
  <c r="AY440" i="3"/>
  <c r="AY437" i="3"/>
  <c r="AY318" i="3"/>
  <c r="AY268" i="3"/>
  <c r="AY245" i="3"/>
  <c r="AY294" i="3"/>
  <c r="BK6" i="3"/>
  <c r="AY335" i="3"/>
  <c r="AY67" i="3"/>
  <c r="AY123" i="3"/>
  <c r="AY489" i="3"/>
  <c r="AY379" i="3"/>
  <c r="AY540" i="3"/>
  <c r="AY141" i="3"/>
  <c r="AY73" i="3"/>
  <c r="AY430" i="3"/>
  <c r="AY195" i="3"/>
  <c r="AY120" i="3"/>
  <c r="AY298" i="3"/>
  <c r="AY147" i="3"/>
  <c r="D19" i="11"/>
  <c r="C19" i="11" s="1"/>
  <c r="C20" i="11" s="1"/>
  <c r="C28" i="11" s="1"/>
  <c r="C27" i="11" s="1"/>
  <c r="C38" i="11"/>
  <c r="K27" i="6"/>
  <c r="D3" i="37"/>
  <c r="D3" i="34"/>
  <c r="AQ6" i="1"/>
  <c r="E6" i="70"/>
  <c r="P6" i="1"/>
  <c r="P16" i="1" s="1"/>
  <c r="C11" i="12" s="1"/>
  <c r="O16" i="1"/>
  <c r="M19" i="6"/>
  <c r="M20" i="6"/>
  <c r="I20" i="6" s="1"/>
  <c r="S20" i="6" s="1"/>
  <c r="S7" i="1"/>
  <c r="C29" i="68"/>
  <c r="D27" i="68" s="1"/>
  <c r="C47" i="68"/>
  <c r="D45" i="68" s="1"/>
  <c r="T6" i="1"/>
  <c r="AR6" i="1"/>
  <c r="C47" i="69"/>
  <c r="D45" i="69" s="1"/>
  <c r="C29" i="69"/>
  <c r="D27" i="69" s="1"/>
  <c r="C17" i="4"/>
  <c r="B4" i="52" s="1"/>
  <c r="B43" i="72" s="1"/>
  <c r="D37" i="11"/>
  <c r="C37" i="11" s="1"/>
  <c r="D3" i="21"/>
  <c r="D3" i="33"/>
  <c r="B2" i="33" s="1"/>
  <c r="B3" i="33" s="1"/>
  <c r="D14" i="12"/>
  <c r="C14" i="12" s="1"/>
  <c r="AY395" i="3"/>
  <c r="AY452" i="3"/>
  <c r="AY299" i="3"/>
  <c r="AY513" i="3"/>
  <c r="AY371" i="3"/>
  <c r="AY214" i="3"/>
  <c r="AY138" i="3"/>
  <c r="AY108" i="3"/>
  <c r="AY465" i="3"/>
  <c r="AY409" i="3"/>
  <c r="AY297" i="3"/>
  <c r="AY176" i="3"/>
  <c r="AY196" i="3"/>
  <c r="AY74" i="3"/>
  <c r="AY204" i="3"/>
  <c r="AY363" i="3"/>
  <c r="AY412" i="3"/>
  <c r="AY229" i="3"/>
  <c r="AY326" i="3"/>
  <c r="AY557" i="3"/>
  <c r="AY105" i="3"/>
  <c r="AY198" i="3"/>
  <c r="AY255" i="3"/>
  <c r="AY360" i="3"/>
  <c r="AY145" i="3"/>
  <c r="AY316" i="3"/>
  <c r="AY585" i="3"/>
  <c r="AY131" i="3"/>
  <c r="AY576" i="3"/>
  <c r="AY383" i="3"/>
  <c r="AY47" i="3"/>
  <c r="AY431" i="3"/>
  <c r="AY490" i="3"/>
  <c r="AY407" i="3"/>
  <c r="AY237" i="3"/>
  <c r="AY52" i="3"/>
  <c r="AY162" i="3"/>
  <c r="AY291" i="3"/>
  <c r="AY238" i="3"/>
  <c r="AY374" i="3"/>
  <c r="BH6" i="3"/>
  <c r="AY202" i="3"/>
  <c r="AY259" i="3"/>
  <c r="AY333" i="3"/>
  <c r="AY472" i="3"/>
  <c r="AY411" i="3"/>
  <c r="AY77" i="3"/>
  <c r="AY428" i="3"/>
  <c r="AY342" i="3"/>
  <c r="AY39" i="3"/>
  <c r="AY13" i="3"/>
  <c r="AY330" i="3"/>
  <c r="AY233" i="3"/>
  <c r="AY203" i="3"/>
  <c r="AY563" i="3"/>
  <c r="AY575" i="3"/>
  <c r="AY492" i="3"/>
  <c r="AY556" i="3"/>
  <c r="AY148" i="3"/>
  <c r="AY285" i="3"/>
  <c r="AY582" i="3"/>
  <c r="AY258" i="3"/>
  <c r="AY454" i="3"/>
  <c r="AY109" i="3"/>
  <c r="AY56" i="3"/>
  <c r="AY166" i="3"/>
  <c r="AY295" i="3"/>
  <c r="AY242" i="3"/>
  <c r="AY353" i="3"/>
  <c r="AY348" i="3"/>
  <c r="AY475" i="3"/>
  <c r="AY462" i="3"/>
  <c r="AY398" i="3"/>
  <c r="BQ6" i="3"/>
  <c r="AY206" i="3"/>
  <c r="AY155" i="3"/>
  <c r="AY553" i="3"/>
  <c r="AY23" i="3"/>
  <c r="AY392" i="3"/>
  <c r="AY175" i="3"/>
  <c r="AY22" i="3"/>
  <c r="AY102" i="3"/>
  <c r="AY528" i="3"/>
  <c r="AY421" i="3"/>
  <c r="AY482" i="3"/>
  <c r="AY347" i="3"/>
  <c r="AY216" i="3"/>
  <c r="AY296" i="3"/>
  <c r="AY140" i="3"/>
  <c r="AY30" i="3"/>
  <c r="AY110" i="3"/>
  <c r="AY548" i="3"/>
  <c r="AY537" i="3"/>
  <c r="AY17" i="3"/>
  <c r="AY450" i="3"/>
  <c r="AY352" i="3"/>
  <c r="AY32" i="3"/>
  <c r="AY511" i="3"/>
  <c r="AY224" i="3"/>
  <c r="AY91" i="3"/>
  <c r="AY362" i="3"/>
  <c r="AY99" i="3"/>
  <c r="AY329" i="3"/>
  <c r="AY243" i="3"/>
  <c r="AY183" i="3"/>
  <c r="AY157" i="3"/>
  <c r="AY455" i="3"/>
  <c r="AY62" i="3"/>
  <c r="AY564" i="3"/>
  <c r="AY399" i="3"/>
  <c r="AY418" i="3"/>
  <c r="AY461" i="3"/>
  <c r="AY336" i="3"/>
  <c r="AY218" i="3"/>
  <c r="AY142" i="3"/>
  <c r="AY112" i="3"/>
  <c r="AY510" i="3"/>
  <c r="AY429" i="3"/>
  <c r="AY354" i="3"/>
  <c r="AY277" i="3"/>
  <c r="AY38" i="3"/>
  <c r="AY560" i="3"/>
  <c r="AY469" i="3"/>
  <c r="AY232" i="3"/>
  <c r="AY156" i="3"/>
  <c r="AY565" i="3"/>
  <c r="AY468" i="3"/>
  <c r="AY251" i="3"/>
  <c r="AY516" i="3"/>
  <c r="AY146" i="3"/>
  <c r="AY114" i="3"/>
  <c r="AY449" i="3"/>
  <c r="BB6" i="3"/>
  <c r="AY447" i="3"/>
  <c r="AY349" i="3"/>
  <c r="AY173" i="3"/>
  <c r="AY167" i="3"/>
  <c r="AY3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46" i="3"/>
  <c r="AY570" i="3"/>
  <c r="AY14" i="3"/>
  <c r="AY426" i="3"/>
  <c r="AY312" i="3"/>
  <c r="AY380" i="3"/>
  <c r="AY194" i="3"/>
  <c r="AY559" i="3"/>
  <c r="AY464" i="3"/>
  <c r="BI6" i="3"/>
  <c r="AY481" i="3"/>
  <c r="AY561" i="3"/>
  <c r="AY20" i="3"/>
  <c r="AY231" i="3"/>
  <c r="AY309" i="3"/>
  <c r="AY181" i="3"/>
  <c r="AY211" i="3"/>
  <c r="AY85" i="3"/>
  <c r="AY526" i="3"/>
  <c r="AY98" i="3"/>
  <c r="AY270" i="3"/>
  <c r="AY433" i="3"/>
  <c r="AY404" i="3"/>
  <c r="AY189" i="3"/>
  <c r="AY16" i="3"/>
  <c r="AY358" i="3"/>
  <c r="AY174" i="3"/>
  <c r="AY192" i="3"/>
  <c r="AY63" i="3"/>
  <c r="AY578" i="3"/>
  <c r="AY542" i="3"/>
  <c r="AY524" i="3"/>
  <c r="AY506" i="3"/>
  <c r="AY439" i="3"/>
  <c r="AY458" i="3"/>
  <c r="AY471" i="3"/>
  <c r="AY344" i="3"/>
  <c r="AY364" i="3"/>
  <c r="AY234" i="3"/>
  <c r="AY137" i="3"/>
  <c r="AY65" i="3"/>
  <c r="AY501" i="3"/>
  <c r="AY527" i="3"/>
  <c r="AY403" i="3"/>
  <c r="AY325" i="3"/>
  <c r="AY186" i="3"/>
  <c r="AY222" i="3"/>
  <c r="AY89" i="3"/>
  <c r="AY425" i="3"/>
  <c r="AY191" i="3"/>
  <c r="AY491" i="3"/>
  <c r="AY357" i="3"/>
  <c r="AY212" i="3"/>
  <c r="AY470" i="3"/>
  <c r="AY406" i="3"/>
  <c r="AY483" i="3"/>
  <c r="AY370" i="3"/>
  <c r="AY121" i="3"/>
  <c r="AY72" i="3"/>
  <c r="AY368" i="3"/>
  <c r="AY271" i="3"/>
  <c r="AY25" i="3"/>
  <c r="AY574" i="3"/>
  <c r="AY390" i="3"/>
  <c r="AY334" i="3"/>
  <c r="AY163" i="3"/>
  <c r="AY427" i="3"/>
  <c r="AY24" i="3"/>
  <c r="AY539" i="3"/>
  <c r="AY50" i="3"/>
  <c r="AY66" i="3"/>
  <c r="BF6" i="3"/>
  <c r="AY93" i="3"/>
  <c r="AY543" i="3"/>
  <c r="AY453" i="3"/>
  <c r="AY27" i="3"/>
  <c r="AY320" i="3"/>
  <c r="AY107" i="3"/>
  <c r="AY328" i="3"/>
  <c r="BT6" i="3"/>
  <c r="AY523" i="3"/>
  <c r="AY171" i="3"/>
  <c r="AY534" i="3"/>
  <c r="AY488" i="3"/>
  <c r="AY290" i="3"/>
  <c r="AY554" i="3"/>
  <c r="AY193" i="3"/>
  <c r="AY343" i="3"/>
  <c r="AY261" i="3"/>
  <c r="AY225" i="3"/>
  <c r="AY118" i="3"/>
  <c r="AY284" i="3"/>
  <c r="AY274" i="3"/>
  <c r="AY220" i="3"/>
  <c r="AY126" i="3"/>
  <c r="AY226" i="3"/>
  <c r="AY572" i="3"/>
  <c r="AY519" i="3"/>
  <c r="AY266" i="3"/>
  <c r="AY509" i="3"/>
  <c r="AY466" i="3"/>
  <c r="AY323" i="3"/>
  <c r="AY153" i="3"/>
  <c r="AY538" i="3"/>
  <c r="AY359" i="3"/>
  <c r="AY339" i="3"/>
  <c r="AY40" i="3"/>
  <c r="AY587" i="3"/>
  <c r="AY500" i="3"/>
  <c r="AY282" i="3"/>
  <c r="AY400" i="3"/>
  <c r="AY416" i="3"/>
  <c r="AY313" i="3"/>
  <c r="AY579" i="3"/>
  <c r="AY94" i="3"/>
  <c r="AY221" i="3"/>
  <c r="AY512" i="3"/>
  <c r="AY273" i="3"/>
  <c r="AY550" i="3"/>
  <c r="AY81" i="3"/>
  <c r="AY396" i="3"/>
  <c r="AY434" i="3"/>
  <c r="AY545" i="3"/>
  <c r="AY301" i="3"/>
  <c r="AY408" i="3"/>
  <c r="AY288" i="3"/>
  <c r="AY413" i="3"/>
  <c r="AY82" i="3"/>
  <c r="BG6" i="3"/>
  <c r="AY78" i="3"/>
  <c r="BC6" i="3"/>
  <c r="BP6" i="3"/>
  <c r="AY386" i="3"/>
  <c r="AY182" i="3"/>
  <c r="AY314" i="3"/>
  <c r="AY394" i="3"/>
  <c r="AY37" i="3"/>
  <c r="AY477" i="3"/>
  <c r="AY517" i="3"/>
  <c r="AY164" i="3"/>
  <c r="AY208" i="3"/>
  <c r="AY474" i="3"/>
  <c r="AY583" i="3"/>
  <c r="AY227" i="3"/>
  <c r="BO6" i="3"/>
  <c r="AY435" i="3"/>
  <c r="AY169" i="3"/>
  <c r="AY499" i="3"/>
  <c r="AY376" i="3"/>
  <c r="AY256" i="3"/>
  <c r="AY64" i="3"/>
  <c r="AY402" i="3"/>
  <c r="AY265" i="3"/>
  <c r="AY143" i="3"/>
  <c r="AY443" i="3"/>
  <c r="AY197" i="3"/>
  <c r="AY580" i="3"/>
  <c r="AY502" i="3"/>
  <c r="AY367" i="3"/>
  <c r="AY505" i="3"/>
  <c r="AY293" i="3"/>
  <c r="AY355" i="3"/>
  <c r="AY264" i="3"/>
  <c r="AY151" i="3"/>
  <c r="AY552" i="3"/>
  <c r="AY240" i="3"/>
  <c r="AY345" i="3"/>
  <c r="AY287" i="3"/>
  <c r="AY158" i="3"/>
  <c r="AY48" i="3"/>
  <c r="AY101" i="3"/>
  <c r="AY494" i="3"/>
  <c r="AY495" i="3"/>
  <c r="AY518" i="3"/>
  <c r="BN6" i="3"/>
  <c r="AY525" i="3"/>
  <c r="AY422" i="3"/>
  <c r="AY308" i="3"/>
  <c r="AY393" i="3"/>
  <c r="AY130" i="3"/>
  <c r="AY57" i="3"/>
  <c r="AY365" i="3"/>
  <c r="AY302" i="3"/>
  <c r="AY36" i="3"/>
  <c r="AY562" i="3"/>
  <c r="AY244" i="3"/>
  <c r="AY350" i="3"/>
  <c r="AY31" i="3"/>
  <c r="AY546" i="3"/>
  <c r="AY414" i="3"/>
  <c r="AY377" i="3"/>
  <c r="AY41" i="3"/>
  <c r="AY286" i="3"/>
  <c r="AY573" i="3"/>
  <c r="AY319" i="3"/>
  <c r="AY103" i="3"/>
  <c r="AY541" i="3"/>
  <c r="AY419" i="3"/>
  <c r="AY438" i="3"/>
  <c r="AY480" i="3"/>
  <c r="AY324" i="3"/>
  <c r="AY341" i="3"/>
  <c r="AY215" i="3"/>
  <c r="AY275" i="3"/>
  <c r="AY161" i="3"/>
  <c r="AY29" i="3"/>
  <c r="AY88" i="3"/>
  <c r="AY507" i="3"/>
  <c r="AY373" i="3"/>
  <c r="AY254" i="3"/>
  <c r="AY117" i="3"/>
  <c r="AY178" i="3"/>
  <c r="AY68" i="3"/>
  <c r="AY555" i="3"/>
  <c r="AY535" i="3"/>
  <c r="AY311" i="3"/>
  <c r="AY269" i="3"/>
  <c r="AY444" i="3"/>
  <c r="AY387" i="3"/>
  <c r="AY75" i="3"/>
  <c r="AY90" i="3"/>
  <c r="AY18" i="3"/>
  <c r="AY571" i="3"/>
  <c r="BM6" i="3"/>
  <c r="AY446" i="3"/>
  <c r="AY332" i="3"/>
  <c r="AY210" i="3"/>
  <c r="AY177" i="3"/>
  <c r="AY104" i="3"/>
  <c r="AY381" i="3"/>
  <c r="AY134" i="3"/>
  <c r="AY84" i="3"/>
  <c r="AY417" i="3"/>
  <c r="AY116" i="3"/>
  <c r="AY209" i="3"/>
  <c r="AY289" i="3"/>
  <c r="AY115" i="3"/>
  <c r="AY180" i="3"/>
  <c r="AY45" i="3"/>
  <c r="AY58" i="3"/>
  <c r="AY276" i="3"/>
  <c r="AY478" i="3"/>
  <c r="BJ6" i="3"/>
  <c r="AY457" i="3"/>
  <c r="AY132" i="3"/>
  <c r="AY199" i="3"/>
  <c r="AY53" i="3"/>
  <c r="AY389" i="3"/>
  <c r="AY150" i="3"/>
  <c r="AY340" i="3"/>
  <c r="AY503" i="3"/>
  <c r="AY520" i="3"/>
  <c r="AY584" i="3"/>
  <c r="AY80" i="3"/>
  <c r="AY129" i="3"/>
  <c r="AY369" i="3"/>
  <c r="AY487" i="3"/>
  <c r="AY410" i="3"/>
  <c r="D3" i="6"/>
  <c r="D6" i="6" s="1"/>
  <c r="AY531" i="3"/>
  <c r="AY35" i="3"/>
  <c r="AY280" i="3"/>
  <c r="AY331" i="3"/>
  <c r="AY405" i="3"/>
  <c r="AY86" i="3"/>
  <c r="AY159" i="3"/>
  <c r="AY213" i="3"/>
  <c r="AY459" i="3"/>
  <c r="AY504" i="3"/>
  <c r="AY496" i="3"/>
  <c r="AY21" i="3"/>
  <c r="AY267" i="3"/>
  <c r="AY337" i="3"/>
  <c r="AY476" i="3"/>
  <c r="AY415" i="3"/>
  <c r="AY515" i="3"/>
  <c r="AY493" i="3"/>
  <c r="AY172" i="3"/>
  <c r="AY248" i="3"/>
  <c r="AY485" i="3"/>
  <c r="AY547" i="3"/>
  <c r="AY54" i="3"/>
  <c r="AY136" i="3"/>
  <c r="AY272" i="3"/>
  <c r="AY375" i="3"/>
  <c r="AY322" i="3"/>
  <c r="AY432" i="3"/>
  <c r="AY15" i="3"/>
  <c r="AY567" i="3"/>
  <c r="AY497" i="3"/>
  <c r="AY317" i="3"/>
  <c r="AY486" i="3"/>
  <c r="AY239" i="3"/>
  <c r="AY356" i="3"/>
  <c r="AY536" i="3"/>
  <c r="AY96" i="3"/>
  <c r="AY223" i="3"/>
  <c r="AY442" i="3"/>
  <c r="BR6" i="3"/>
  <c r="AY127" i="3"/>
  <c r="AY424" i="3"/>
  <c r="AY179" i="3"/>
  <c r="AY306" i="3"/>
  <c r="AY532" i="3"/>
  <c r="AY113" i="3"/>
  <c r="AY479" i="3"/>
  <c r="AY522" i="3"/>
  <c r="AY19" i="3"/>
  <c r="AY315" i="3"/>
  <c r="AY71" i="3"/>
  <c r="AY257" i="3"/>
  <c r="AY307" i="3"/>
  <c r="AY521" i="3"/>
  <c r="AY160" i="3"/>
  <c r="AY292" i="3"/>
  <c r="AY279" i="3"/>
  <c r="AY514" i="3"/>
  <c r="AY484" i="3"/>
  <c r="AY187" i="3"/>
  <c r="AY70" i="3"/>
  <c r="AY498" i="3"/>
  <c r="AY305" i="3"/>
  <c r="AY79" i="3"/>
  <c r="AY568" i="3"/>
  <c r="AY351" i="3"/>
  <c r="AY100" i="3"/>
  <c r="AY467" i="3"/>
  <c r="AY423" i="3"/>
  <c r="AY119" i="3"/>
  <c r="AY445" i="3"/>
  <c r="AY200" i="3"/>
  <c r="AY581" i="3"/>
  <c r="BA6" i="3"/>
  <c r="AY551" i="3"/>
  <c r="BS6" i="3"/>
  <c r="AY451" i="3"/>
  <c r="AY201"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3" i="3"/>
  <c r="AY569" i="3"/>
  <c r="AY263" i="3"/>
  <c r="AY106" i="3"/>
  <c r="AY170"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H20" i="6"/>
  <c r="C7" i="74"/>
  <c r="H24" i="6"/>
  <c r="C33" i="11"/>
  <c r="C39" i="11" s="1"/>
  <c r="C46" i="11" s="1"/>
  <c r="C45" i="11" s="1"/>
  <c r="D20" i="12"/>
  <c r="C20" i="12" s="1"/>
  <c r="C18" i="12" s="1"/>
  <c r="D10" i="11"/>
  <c r="C10" i="11" s="1"/>
  <c r="D10" i="69"/>
  <c r="AB7" i="36"/>
  <c r="T36" i="36" s="1"/>
  <c r="G36" i="36" s="1"/>
  <c r="U7" i="36"/>
  <c r="S7" i="34"/>
  <c r="AA7" i="34"/>
  <c r="R49" i="34" s="1"/>
  <c r="G68" i="39"/>
  <c r="F70" i="39"/>
  <c r="I40" i="36"/>
  <c r="J40" i="36" s="1"/>
  <c r="G46" i="37"/>
  <c r="H46" i="37" s="1"/>
  <c r="AA7" i="35"/>
  <c r="R38" i="35" s="1"/>
  <c r="S7" i="35"/>
  <c r="S7" i="36"/>
  <c r="AA7" i="36"/>
  <c r="R36" i="36" s="1"/>
  <c r="AC7" i="37"/>
  <c r="V42" i="37" s="1"/>
  <c r="I42" i="37" s="1"/>
  <c r="G47" i="37" s="1"/>
  <c r="H47" i="37" s="1"/>
  <c r="W7" i="37"/>
  <c r="AC7" i="34"/>
  <c r="V49" i="34" s="1"/>
  <c r="I49" i="34" s="1"/>
  <c r="W7" i="34"/>
  <c r="J58" i="21"/>
  <c r="R43" i="37"/>
  <c r="E42" i="37"/>
  <c r="J7" i="35"/>
  <c r="H7" i="34"/>
  <c r="H7" i="35"/>
  <c r="C34" i="68"/>
  <c r="D10" i="68"/>
  <c r="AE7" i="1"/>
  <c r="F41" i="79" s="1"/>
  <c r="C34" i="83"/>
  <c r="C14" i="67"/>
  <c r="C17" i="15"/>
  <c r="C17" i="79"/>
  <c r="D10" i="84"/>
  <c r="C17" i="67"/>
  <c r="J26" i="67" l="1"/>
  <c r="J29" i="67" s="1"/>
  <c r="J26" i="15"/>
  <c r="J29" i="15" s="1"/>
  <c r="J18" i="67"/>
  <c r="J24" i="15"/>
  <c r="C10" i="84"/>
  <c r="D19" i="84"/>
  <c r="C38" i="83"/>
  <c r="C35" i="83"/>
  <c r="F69" i="79"/>
  <c r="C53" i="67"/>
  <c r="C48" i="67" s="1"/>
  <c r="C10" i="67"/>
  <c r="C5" i="67" s="1"/>
  <c r="C53" i="15"/>
  <c r="C48" i="15" s="1"/>
  <c r="C10" i="15"/>
  <c r="C5" i="15" s="1"/>
  <c r="C53" i="79"/>
  <c r="C48" i="79" s="1"/>
  <c r="C10" i="79"/>
  <c r="C5" i="79" s="1"/>
  <c r="J63" i="40"/>
  <c r="I65" i="40"/>
  <c r="J24" i="79"/>
  <c r="J26" i="79"/>
  <c r="J29" i="79" s="1"/>
  <c r="J18" i="79"/>
  <c r="C5" i="71"/>
  <c r="D5" i="71" s="1"/>
  <c r="M20" i="43" s="1"/>
  <c r="C19" i="43" s="1"/>
  <c r="D6" i="71"/>
  <c r="D37" i="83"/>
  <c r="C37" i="83" s="1"/>
  <c r="C19" i="83"/>
  <c r="F22" i="84"/>
  <c r="F24" i="79"/>
  <c r="C24" i="79" s="1"/>
  <c r="F22" i="83"/>
  <c r="F24" i="67"/>
  <c r="C24" i="67" s="1"/>
  <c r="F22" i="11"/>
  <c r="F25" i="12"/>
  <c r="C26" i="12" s="1"/>
  <c r="D25" i="12" s="1"/>
  <c r="F22" i="68"/>
  <c r="F22" i="69"/>
  <c r="F24" i="15"/>
  <c r="C24" i="15" s="1"/>
  <c r="C38" i="68"/>
  <c r="C35" i="68"/>
  <c r="E2" i="70"/>
  <c r="E7" i="70"/>
  <c r="C38" i="39"/>
  <c r="E66" i="39"/>
  <c r="M27" i="6"/>
  <c r="I19" i="6"/>
  <c r="I27" i="6" s="1"/>
  <c r="C15" i="12"/>
  <c r="C12" i="12"/>
  <c r="C18" i="67"/>
  <c r="C15" i="67"/>
  <c r="S16" i="1"/>
  <c r="AQ7" i="1"/>
  <c r="AR7" i="1"/>
  <c r="T7" i="1"/>
  <c r="D17" i="12"/>
  <c r="C17" i="12" s="1"/>
  <c r="D15" i="6"/>
  <c r="D11" i="6"/>
  <c r="D25" i="6"/>
  <c r="D24" i="6"/>
  <c r="R24" i="6" s="1"/>
  <c r="E61" i="40"/>
  <c r="H21" i="6"/>
  <c r="D10" i="6"/>
  <c r="D20" i="6"/>
  <c r="R20" i="6" s="1"/>
  <c r="R7" i="1" s="1"/>
  <c r="D12" i="6"/>
  <c r="D28" i="6"/>
  <c r="D21" i="6"/>
  <c r="D13" i="6"/>
  <c r="D29" i="6"/>
  <c r="M19" i="9"/>
  <c r="C118" i="9" s="1"/>
  <c r="C14" i="74" s="1"/>
  <c r="B2" i="74" s="1"/>
  <c r="L19" i="9"/>
  <c r="D23" i="6"/>
  <c r="D19" i="6"/>
  <c r="D9" i="6"/>
  <c r="D8" i="6"/>
  <c r="H22" i="6"/>
  <c r="H25" i="6"/>
  <c r="D5" i="6"/>
  <c r="D22" i="6"/>
  <c r="C18" i="4"/>
  <c r="H26" i="6"/>
  <c r="D14" i="6"/>
  <c r="D26" i="6"/>
  <c r="H23" i="6"/>
  <c r="D19" i="69"/>
  <c r="C10" i="69"/>
  <c r="C8" i="69" s="1"/>
  <c r="C5" i="69" s="1"/>
  <c r="C23" i="69" s="1"/>
  <c r="D19" i="68"/>
  <c r="C10" i="68"/>
  <c r="S19" i="6"/>
  <c r="S27" i="6" s="1"/>
  <c r="H19" i="6"/>
  <c r="C43" i="11"/>
  <c r="AB7" i="35"/>
  <c r="T38" i="35" s="1"/>
  <c r="G38" i="35" s="1"/>
  <c r="U7" i="35"/>
  <c r="U7" i="34"/>
  <c r="AB7" i="34"/>
  <c r="T49" i="34" s="1"/>
  <c r="G49" i="34" s="1"/>
  <c r="E47" i="37"/>
  <c r="F47" i="37" s="1"/>
  <c r="E46" i="37"/>
  <c r="F46" i="37" s="1"/>
  <c r="I53" i="34"/>
  <c r="J53" i="34" s="1"/>
  <c r="I47" i="37"/>
  <c r="J47" i="37" s="1"/>
  <c r="I46" i="37"/>
  <c r="J46" i="37" s="1"/>
  <c r="R39" i="35"/>
  <c r="E38" i="35"/>
  <c r="H68" i="39"/>
  <c r="G70" i="39"/>
  <c r="E49" i="34"/>
  <c r="R50" i="34"/>
  <c r="AC7" i="35"/>
  <c r="V38" i="35" s="1"/>
  <c r="I38" i="35" s="1"/>
  <c r="W7" i="35"/>
  <c r="C43" i="37"/>
  <c r="B2" i="37" s="1"/>
  <c r="B3" i="37" s="1"/>
  <c r="C42" i="37"/>
  <c r="K58" i="21"/>
  <c r="L58" i="21" s="1"/>
  <c r="M58" i="21" s="1"/>
  <c r="N58" i="21" s="1"/>
  <c r="O58" i="21" s="1"/>
  <c r="J7" i="21"/>
  <c r="E36" i="36"/>
  <c r="R37" i="36"/>
  <c r="G40" i="36"/>
  <c r="H40" i="36" s="1"/>
  <c r="G41" i="36"/>
  <c r="H41" i="36" s="1"/>
  <c r="C33" i="15"/>
  <c r="C34" i="84"/>
  <c r="C14" i="79"/>
  <c r="M21" i="79"/>
  <c r="F35" i="79"/>
  <c r="C14" i="15"/>
  <c r="C33" i="83" l="1"/>
  <c r="C39" i="83" s="1"/>
  <c r="C43" i="83" s="1"/>
  <c r="C38" i="84"/>
  <c r="C35" i="84"/>
  <c r="C44" i="68"/>
  <c r="D41" i="68" s="1"/>
  <c r="C26" i="68"/>
  <c r="D22" i="68" s="1"/>
  <c r="C44" i="11"/>
  <c r="D41" i="11" s="1"/>
  <c r="C26" i="11"/>
  <c r="D22" i="11" s="1"/>
  <c r="C25" i="11"/>
  <c r="C23" i="11"/>
  <c r="C24" i="11"/>
  <c r="C44" i="83"/>
  <c r="D41" i="83" s="1"/>
  <c r="C26" i="83"/>
  <c r="D22" i="83" s="1"/>
  <c r="C26" i="84"/>
  <c r="D22" i="84" s="1"/>
  <c r="C44" i="84"/>
  <c r="D41" i="84" s="1"/>
  <c r="C37" i="43"/>
  <c r="T13" i="43"/>
  <c r="V13" i="43" s="1"/>
  <c r="C35" i="43"/>
  <c r="T8" i="43"/>
  <c r="V8" i="43" s="1"/>
  <c r="C36" i="43"/>
  <c r="T2" i="43"/>
  <c r="V2" i="43" s="1"/>
  <c r="C29" i="43"/>
  <c r="T5" i="43"/>
  <c r="V5" i="43" s="1"/>
  <c r="C38" i="43"/>
  <c r="T6" i="43"/>
  <c r="V6" i="43" s="1"/>
  <c r="T3" i="43"/>
  <c r="V3" i="43" s="1"/>
  <c r="C39" i="43"/>
  <c r="T12" i="43"/>
  <c r="V12" i="43" s="1"/>
  <c r="C33" i="43"/>
  <c r="T16" i="43"/>
  <c r="V16" i="43" s="1"/>
  <c r="T14" i="43"/>
  <c r="V14" i="43" s="1"/>
  <c r="T4" i="43"/>
  <c r="V4" i="43" s="1"/>
  <c r="C34" i="43"/>
  <c r="T11" i="43"/>
  <c r="V11" i="43" s="1"/>
  <c r="T10" i="43"/>
  <c r="V10" i="43" s="1"/>
  <c r="T7" i="43"/>
  <c r="V7" i="43" s="1"/>
  <c r="T9" i="43"/>
  <c r="V9" i="43" s="1"/>
  <c r="T15" i="43"/>
  <c r="V15" i="43" s="1"/>
  <c r="C38" i="79"/>
  <c r="C32" i="79"/>
  <c r="C33" i="79"/>
  <c r="C32" i="15"/>
  <c r="C38" i="15"/>
  <c r="C32" i="67"/>
  <c r="C38" i="67"/>
  <c r="C19" i="84"/>
  <c r="C24" i="84" s="1"/>
  <c r="D37" i="84"/>
  <c r="C37" i="84" s="1"/>
  <c r="C42" i="11"/>
  <c r="C41" i="11" s="1"/>
  <c r="C26" i="69"/>
  <c r="D22" i="69" s="1"/>
  <c r="C44" i="69"/>
  <c r="D41" i="69" s="1"/>
  <c r="C24" i="83"/>
  <c r="K63" i="40"/>
  <c r="J65" i="40"/>
  <c r="C66" i="79"/>
  <c r="C60" i="79"/>
  <c r="C60" i="15"/>
  <c r="C66" i="15"/>
  <c r="C66" i="67"/>
  <c r="C60" i="67"/>
  <c r="C18" i="79"/>
  <c r="C15" i="79"/>
  <c r="T16" i="1"/>
  <c r="F63" i="79"/>
  <c r="C62" i="79" s="1"/>
  <c r="C34" i="79"/>
  <c r="J20" i="79"/>
  <c r="H38" i="39"/>
  <c r="J38" i="39"/>
  <c r="F38" i="39"/>
  <c r="C16" i="12"/>
  <c r="C21" i="12" s="1"/>
  <c r="C22" i="12" s="1"/>
  <c r="C30" i="12" s="1"/>
  <c r="C28" i="12" s="1"/>
  <c r="C19" i="67"/>
  <c r="C20" i="67" s="1"/>
  <c r="C26" i="67" s="1"/>
  <c r="C18" i="15"/>
  <c r="C15" i="15"/>
  <c r="R26" i="6"/>
  <c r="D30" i="6"/>
  <c r="R22" i="6"/>
  <c r="D16" i="6"/>
  <c r="D27" i="6"/>
  <c r="R21" i="6"/>
  <c r="R25" i="6"/>
  <c r="C4" i="52"/>
  <c r="B45" i="72" s="1"/>
  <c r="A7" i="51"/>
  <c r="B7" i="72" s="1"/>
  <c r="A10" i="51"/>
  <c r="B9" i="72" s="1"/>
  <c r="R23" i="6"/>
  <c r="D8" i="74"/>
  <c r="D7" i="74"/>
  <c r="H27" i="6"/>
  <c r="R19" i="6"/>
  <c r="C19" i="68"/>
  <c r="D37" i="68"/>
  <c r="C37" i="68" s="1"/>
  <c r="C33" i="68" s="1"/>
  <c r="C19" i="69"/>
  <c r="D37" i="69"/>
  <c r="C37" i="69" s="1"/>
  <c r="C33" i="69" s="1"/>
  <c r="C37" i="36"/>
  <c r="B2" i="36" s="1"/>
  <c r="B3" i="36" s="1"/>
  <c r="C36" i="36"/>
  <c r="E41" i="36"/>
  <c r="F41" i="36" s="1"/>
  <c r="E40" i="36"/>
  <c r="F40" i="36" s="1"/>
  <c r="I41" i="36"/>
  <c r="J41" i="36" s="1"/>
  <c r="H7" i="21"/>
  <c r="C49" i="34"/>
  <c r="C50" i="34"/>
  <c r="B2" i="34" s="1"/>
  <c r="B3" i="34" s="1"/>
  <c r="E43" i="35"/>
  <c r="F43" i="35" s="1"/>
  <c r="E42" i="35"/>
  <c r="F42" i="35" s="1"/>
  <c r="G53" i="34"/>
  <c r="H53" i="34" s="1"/>
  <c r="G54" i="34"/>
  <c r="H54" i="34" s="1"/>
  <c r="F7" i="21"/>
  <c r="AC7" i="21"/>
  <c r="V48" i="21" s="1"/>
  <c r="I48" i="21" s="1"/>
  <c r="W7" i="21"/>
  <c r="I42" i="35"/>
  <c r="J42" i="35" s="1"/>
  <c r="I43" i="35"/>
  <c r="J43" i="35" s="1"/>
  <c r="E54" i="34"/>
  <c r="F54" i="34" s="1"/>
  <c r="E53" i="34"/>
  <c r="F53" i="34" s="1"/>
  <c r="I68" i="39"/>
  <c r="H70" i="39"/>
  <c r="C39" i="35"/>
  <c r="B2" i="35" s="1"/>
  <c r="B3" i="35" s="1"/>
  <c r="C38" i="35"/>
  <c r="I54" i="34"/>
  <c r="J54" i="34" s="1"/>
  <c r="G42" i="35"/>
  <c r="H42" i="35" s="1"/>
  <c r="G43" i="35"/>
  <c r="H43" i="35" s="1"/>
  <c r="C42" i="83" l="1"/>
  <c r="C41" i="83" s="1"/>
  <c r="C33" i="84"/>
  <c r="C42" i="84" s="1"/>
  <c r="C31" i="79"/>
  <c r="C49" i="11"/>
  <c r="C51" i="11" s="1"/>
  <c r="C22" i="11"/>
  <c r="C31" i="11" s="1"/>
  <c r="L63" i="40"/>
  <c r="K65" i="40"/>
  <c r="G34" i="43"/>
  <c r="I34" i="43" s="1"/>
  <c r="E34" i="43"/>
  <c r="G33" i="43"/>
  <c r="I33" i="43" s="1"/>
  <c r="E33" i="43"/>
  <c r="G39" i="43"/>
  <c r="I39" i="43" s="1"/>
  <c r="E39" i="43"/>
  <c r="C46" i="83"/>
  <c r="C45" i="83" s="1"/>
  <c r="E38" i="43"/>
  <c r="G38" i="43"/>
  <c r="I38" i="43" s="1"/>
  <c r="E29" i="43"/>
  <c r="C26" i="43" s="1"/>
  <c r="C30" i="43"/>
  <c r="E30" i="43" s="1"/>
  <c r="G36" i="43"/>
  <c r="I36" i="43" s="1"/>
  <c r="E36" i="43"/>
  <c r="G35" i="43"/>
  <c r="I35" i="43" s="1"/>
  <c r="E35" i="43"/>
  <c r="G37" i="43"/>
  <c r="I37" i="43" s="1"/>
  <c r="E37" i="43"/>
  <c r="C19" i="79"/>
  <c r="C20" i="79" s="1"/>
  <c r="C26" i="79" s="1"/>
  <c r="D31" i="6"/>
  <c r="I5" i="6" s="1"/>
  <c r="AA38" i="39"/>
  <c r="S38" i="39"/>
  <c r="AB38" i="39"/>
  <c r="U38" i="39"/>
  <c r="W38" i="39"/>
  <c r="AC38" i="39"/>
  <c r="C19" i="15"/>
  <c r="C20" i="15" s="1"/>
  <c r="C26" i="15" s="1"/>
  <c r="C27" i="12"/>
  <c r="C25" i="12" s="1"/>
  <c r="C32" i="12" s="1"/>
  <c r="B2" i="12" s="1"/>
  <c r="B3" i="12" s="1"/>
  <c r="C23" i="67"/>
  <c r="C29" i="67" s="1"/>
  <c r="J59" i="67" s="1"/>
  <c r="J60" i="67" s="1"/>
  <c r="Q48" i="67" s="1"/>
  <c r="R27" i="6"/>
  <c r="R6" i="1"/>
  <c r="C20" i="69"/>
  <c r="C28" i="69" s="1"/>
  <c r="C27" i="69" s="1"/>
  <c r="C24" i="69"/>
  <c r="C24" i="68"/>
  <c r="C39" i="69"/>
  <c r="C42" i="69"/>
  <c r="C39" i="68"/>
  <c r="C43" i="68" s="1"/>
  <c r="C42" i="68"/>
  <c r="J68" i="39"/>
  <c r="I70" i="39"/>
  <c r="I52" i="21"/>
  <c r="J52" i="21" s="1"/>
  <c r="AB7" i="21"/>
  <c r="T48" i="21" s="1"/>
  <c r="G48" i="21" s="1"/>
  <c r="U7" i="21"/>
  <c r="S7" i="21"/>
  <c r="AA7" i="21"/>
  <c r="R48" i="21" s="1"/>
  <c r="M21" i="67"/>
  <c r="M21" i="15"/>
  <c r="F35" i="67"/>
  <c r="F35" i="15"/>
  <c r="C39" i="84" l="1"/>
  <c r="C43" i="84" s="1"/>
  <c r="C41" i="84" s="1"/>
  <c r="C49" i="83"/>
  <c r="C51" i="83" s="1"/>
  <c r="C52" i="11"/>
  <c r="B2" i="11" s="1"/>
  <c r="B3" i="11" s="1"/>
  <c r="C27" i="43"/>
  <c r="M63" i="40"/>
  <c r="L65" i="40"/>
  <c r="B2" i="43"/>
  <c r="C23" i="79"/>
  <c r="C29" i="79" s="1"/>
  <c r="C57" i="79" s="1"/>
  <c r="I6" i="6"/>
  <c r="C11" i="39" s="1"/>
  <c r="J20" i="67"/>
  <c r="J20" i="15"/>
  <c r="F63" i="67"/>
  <c r="C62" i="67" s="1"/>
  <c r="C34" i="67"/>
  <c r="C34" i="15"/>
  <c r="C31" i="15" s="1"/>
  <c r="F63" i="15"/>
  <c r="C62" i="15" s="1"/>
  <c r="R16" i="1"/>
  <c r="C23" i="15"/>
  <c r="C29" i="15" s="1"/>
  <c r="C13" i="15" s="1"/>
  <c r="C33" i="67"/>
  <c r="C57" i="67"/>
  <c r="J19" i="67"/>
  <c r="J17" i="67" s="1"/>
  <c r="C36" i="67"/>
  <c r="J14" i="67"/>
  <c r="C13" i="67"/>
  <c r="Q49" i="67"/>
  <c r="C41" i="68"/>
  <c r="C46" i="68"/>
  <c r="C45" i="68" s="1"/>
  <c r="C25" i="69"/>
  <c r="C22" i="69" s="1"/>
  <c r="C31" i="69" s="1"/>
  <c r="C46" i="69"/>
  <c r="C45" i="69" s="1"/>
  <c r="C43" i="69"/>
  <c r="C41" i="69" s="1"/>
  <c r="R49" i="21"/>
  <c r="E48" i="21"/>
  <c r="G52" i="21"/>
  <c r="H52" i="21" s="1"/>
  <c r="G53" i="21"/>
  <c r="H53" i="21" s="1"/>
  <c r="K68" i="39"/>
  <c r="J70" i="39"/>
  <c r="E6" i="76"/>
  <c r="B6" i="76"/>
  <c r="C56" i="11" l="1"/>
  <c r="C57" i="11" s="1"/>
  <c r="C46" i="84"/>
  <c r="C45" i="84" s="1"/>
  <c r="C49" i="84" s="1"/>
  <c r="C51" i="84" s="1"/>
  <c r="B2" i="76"/>
  <c r="E2" i="76"/>
  <c r="B3" i="43"/>
  <c r="N63" i="40"/>
  <c r="M65" i="40"/>
  <c r="C13" i="79"/>
  <c r="Q70" i="79" s="1"/>
  <c r="C36" i="79"/>
  <c r="J19" i="79"/>
  <c r="J17" i="79" s="1"/>
  <c r="J14" i="79"/>
  <c r="J22" i="79" s="1"/>
  <c r="Q49" i="79"/>
  <c r="C61" i="79"/>
  <c r="C59" i="79" s="1"/>
  <c r="C64" i="79"/>
  <c r="H11" i="39"/>
  <c r="F11" i="39"/>
  <c r="J11" i="39"/>
  <c r="J19" i="15"/>
  <c r="J17" i="15" s="1"/>
  <c r="C36" i="15"/>
  <c r="C57" i="15"/>
  <c r="C61" i="15" s="1"/>
  <c r="C59" i="15" s="1"/>
  <c r="J59" i="15"/>
  <c r="J60" i="15" s="1"/>
  <c r="Q48" i="15" s="1"/>
  <c r="J14" i="15"/>
  <c r="J13" i="15" s="1"/>
  <c r="J23" i="15" s="1"/>
  <c r="Q49" i="15"/>
  <c r="C31" i="67"/>
  <c r="C56" i="15"/>
  <c r="C65" i="15" s="1"/>
  <c r="Q70" i="15"/>
  <c r="C37" i="15"/>
  <c r="C30" i="15" s="1"/>
  <c r="C39" i="15" s="1"/>
  <c r="C75" i="15"/>
  <c r="C75" i="67"/>
  <c r="C37" i="67"/>
  <c r="C56" i="67"/>
  <c r="C65" i="67" s="1"/>
  <c r="Q70" i="67"/>
  <c r="C61" i="67"/>
  <c r="C59" i="67" s="1"/>
  <c r="C64" i="67"/>
  <c r="J13" i="67"/>
  <c r="J23" i="67" s="1"/>
  <c r="J22" i="67"/>
  <c r="C49" i="68"/>
  <c r="C51" i="68" s="1"/>
  <c r="C49" i="69"/>
  <c r="C51" i="69" s="1"/>
  <c r="C52" i="69" s="1"/>
  <c r="B2" i="69" s="1"/>
  <c r="B3" i="69" s="1"/>
  <c r="L68" i="39"/>
  <c r="K70" i="39"/>
  <c r="E52" i="21"/>
  <c r="F52" i="21" s="1"/>
  <c r="E53" i="21"/>
  <c r="F53" i="21" s="1"/>
  <c r="I53" i="21"/>
  <c r="J53" i="21" s="1"/>
  <c r="C48" i="21"/>
  <c r="C49" i="21"/>
  <c r="B2" i="21" s="1"/>
  <c r="B3" i="21" s="1"/>
  <c r="L51" i="15"/>
  <c r="J13" i="79" l="1"/>
  <c r="J23" i="79" s="1"/>
  <c r="B3" i="76"/>
  <c r="N65" i="40"/>
  <c r="O63" i="40"/>
  <c r="O65" i="40" s="1"/>
  <c r="J7" i="40"/>
  <c r="C37" i="79"/>
  <c r="C56" i="79"/>
  <c r="C65" i="79" s="1"/>
  <c r="C58" i="79" s="1"/>
  <c r="C67" i="79" s="1"/>
  <c r="C68" i="79" s="1"/>
  <c r="C75" i="79"/>
  <c r="J16" i="79"/>
  <c r="J25" i="79" s="1"/>
  <c r="C30" i="79"/>
  <c r="C39" i="79" s="1"/>
  <c r="Q69" i="79" s="1"/>
  <c r="Q68" i="79" s="1"/>
  <c r="AC11" i="39"/>
  <c r="W11" i="39"/>
  <c r="AB11" i="39"/>
  <c r="U11" i="39"/>
  <c r="AA11" i="39"/>
  <c r="S11" i="39"/>
  <c r="C30" i="67"/>
  <c r="C39" i="67" s="1"/>
  <c r="C64" i="15"/>
  <c r="C58" i="15" s="1"/>
  <c r="C67" i="15" s="1"/>
  <c r="C68" i="15" s="1"/>
  <c r="C71" i="15" s="1"/>
  <c r="J22" i="15"/>
  <c r="J16" i="15" s="1"/>
  <c r="J25" i="15" s="1"/>
  <c r="J16" i="67"/>
  <c r="J25" i="67" s="1"/>
  <c r="L57" i="15"/>
  <c r="L60" i="15" s="1"/>
  <c r="Q67" i="15"/>
  <c r="C58" i="67"/>
  <c r="C67" i="67" s="1"/>
  <c r="C68" i="67" s="1"/>
  <c r="C80" i="15"/>
  <c r="C79" i="15" s="1"/>
  <c r="Q69" i="67"/>
  <c r="Q68" i="67" s="1"/>
  <c r="Q69" i="15"/>
  <c r="Q68" i="15" s="1"/>
  <c r="C40" i="15"/>
  <c r="C57" i="69"/>
  <c r="C56" i="69" s="1"/>
  <c r="M68" i="39"/>
  <c r="L70" i="39"/>
  <c r="L51" i="79"/>
  <c r="L51" i="67"/>
  <c r="F7" i="40" l="1"/>
  <c r="H7" i="40"/>
  <c r="AC7" i="40"/>
  <c r="V42" i="40" s="1"/>
  <c r="I42" i="40" s="1"/>
  <c r="W7" i="40"/>
  <c r="Q67" i="79"/>
  <c r="C40" i="79"/>
  <c r="C43" i="79" s="1"/>
  <c r="C80" i="79"/>
  <c r="C79" i="79" s="1"/>
  <c r="Q65" i="79"/>
  <c r="Q75" i="79" s="1"/>
  <c r="C71" i="79"/>
  <c r="Q67" i="67"/>
  <c r="L57" i="67"/>
  <c r="L60" i="67" s="1"/>
  <c r="Q57" i="67" s="1"/>
  <c r="C40" i="67"/>
  <c r="C45" i="67" s="1"/>
  <c r="C46" i="67" s="1"/>
  <c r="C80" i="67"/>
  <c r="C79" i="67" s="1"/>
  <c r="Q56" i="15"/>
  <c r="Q47" i="15"/>
  <c r="Q53" i="15" s="1"/>
  <c r="C83" i="15"/>
  <c r="C82" i="15" s="1"/>
  <c r="Q65" i="15"/>
  <c r="C43" i="15"/>
  <c r="C46" i="15"/>
  <c r="C71" i="67"/>
  <c r="L46" i="15"/>
  <c r="B2" i="15" s="1"/>
  <c r="Q57" i="15"/>
  <c r="Q66" i="15"/>
  <c r="L46" i="67"/>
  <c r="Q66" i="67"/>
  <c r="N68" i="39"/>
  <c r="M70" i="39"/>
  <c r="AO6" i="1"/>
  <c r="U7" i="40" l="1"/>
  <c r="AB7" i="40"/>
  <c r="T42" i="40" s="1"/>
  <c r="G42" i="40" s="1"/>
  <c r="I46" i="40"/>
  <c r="J46" i="40" s="1"/>
  <c r="S7" i="40"/>
  <c r="AA7" i="40"/>
  <c r="R42" i="40" s="1"/>
  <c r="Q56" i="79"/>
  <c r="Q62" i="79" s="1"/>
  <c r="C46" i="79"/>
  <c r="C83" i="79"/>
  <c r="C82" i="79" s="1"/>
  <c r="B2" i="79"/>
  <c r="Q47" i="79"/>
  <c r="Q53" i="79" s="1"/>
  <c r="Q47" i="67"/>
  <c r="Q53" i="67" s="1"/>
  <c r="C83" i="67"/>
  <c r="C82" i="67" s="1"/>
  <c r="Q56" i="67"/>
  <c r="Q65" i="67"/>
  <c r="Q75" i="67" s="1"/>
  <c r="C43" i="67"/>
  <c r="D2" i="67"/>
  <c r="B2" i="67" s="1"/>
  <c r="B6" i="70"/>
  <c r="B3" i="15"/>
  <c r="Q62" i="67"/>
  <c r="Q62" i="15"/>
  <c r="Q75" i="15"/>
  <c r="O68" i="39"/>
  <c r="O70" i="39" s="1"/>
  <c r="N70" i="39"/>
  <c r="AO7" i="1"/>
  <c r="E42" i="40" l="1"/>
  <c r="R43" i="40"/>
  <c r="G46" i="40"/>
  <c r="H46" i="40" s="1"/>
  <c r="G47" i="40"/>
  <c r="H47" i="40" s="1"/>
  <c r="B7" i="70"/>
  <c r="B2" i="70" s="1"/>
  <c r="B3" i="79"/>
  <c r="B3" i="67"/>
  <c r="J7" i="39"/>
  <c r="F7" i="39"/>
  <c r="H7" i="39"/>
  <c r="D19" i="9"/>
  <c r="C43" i="40" l="1"/>
  <c r="C42" i="40"/>
  <c r="E46" i="40"/>
  <c r="F46" i="40" s="1"/>
  <c r="E47" i="40"/>
  <c r="F47" i="40" s="1"/>
  <c r="I47" i="40"/>
  <c r="J47" i="40" s="1"/>
  <c r="D21" i="9"/>
  <c r="D102" i="9"/>
  <c r="B3" i="70"/>
  <c r="AC7" i="39"/>
  <c r="V47" i="39" s="1"/>
  <c r="I47" i="39" s="1"/>
  <c r="W7" i="39"/>
  <c r="S7" i="39"/>
  <c r="AA7" i="39"/>
  <c r="R47" i="39" s="1"/>
  <c r="AB7" i="39"/>
  <c r="T47" i="39" s="1"/>
  <c r="G47" i="39" s="1"/>
  <c r="U7" i="39"/>
  <c r="D20" i="9"/>
  <c r="B60" i="40" l="1"/>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03" i="9"/>
  <c r="G52" i="39"/>
  <c r="H52" i="39" s="1"/>
  <c r="G51" i="39"/>
  <c r="H51" i="39" s="1"/>
  <c r="I51" i="39"/>
  <c r="J51" i="39" s="1"/>
  <c r="E47" i="39"/>
  <c r="R48" i="39"/>
  <c r="E51" i="39" l="1"/>
  <c r="F51" i="39" s="1"/>
  <c r="E52" i="39"/>
  <c r="F52" i="39" s="1"/>
  <c r="C48" i="39"/>
  <c r="C47" i="39"/>
  <c r="I52" i="39"/>
  <c r="J52" i="39" s="1"/>
  <c r="L25" i="82" l="1"/>
  <c r="M25" i="82" s="1"/>
  <c r="C6" i="84" s="1"/>
  <c r="C7" i="84" s="1"/>
  <c r="C5" i="84" s="1"/>
  <c r="L24" i="82"/>
  <c r="M24" i="82" s="1"/>
  <c r="C6" i="83" s="1"/>
  <c r="B60" i="39"/>
  <c r="F60" i="39" s="1"/>
  <c r="B58" i="39"/>
  <c r="F58" i="39" s="1"/>
  <c r="B64" i="39"/>
  <c r="F64" i="39" s="1"/>
  <c r="B57" i="39"/>
  <c r="F57" i="39" s="1"/>
  <c r="B62" i="39"/>
  <c r="F62" i="39" s="1"/>
  <c r="B61" i="39"/>
  <c r="F61" i="39" s="1"/>
  <c r="B56" i="39"/>
  <c r="F56" i="39" s="1"/>
  <c r="F66" i="39" s="1"/>
  <c r="B2" i="39" s="1"/>
  <c r="B59" i="39"/>
  <c r="F59" i="39" s="1"/>
  <c r="B65" i="39"/>
  <c r="F65" i="39" s="1"/>
  <c r="B63" i="39"/>
  <c r="F63" i="39" s="1"/>
  <c r="C7" i="83" l="1"/>
  <c r="C5" i="83" s="1"/>
  <c r="C20" i="84"/>
  <c r="C25" i="84" s="1"/>
  <c r="C23" i="84"/>
  <c r="B3" i="39"/>
  <c r="C6" i="68"/>
  <c r="C7" i="68" s="1"/>
  <c r="C5" i="68" s="1"/>
  <c r="C22" i="84" l="1"/>
  <c r="C20" i="83"/>
  <c r="C23" i="83"/>
  <c r="C28" i="84"/>
  <c r="C27" i="84" s="1"/>
  <c r="C23" i="68"/>
  <c r="C20" i="68"/>
  <c r="C25" i="68" s="1"/>
  <c r="C31" i="84" l="1"/>
  <c r="C52" i="84" s="1"/>
  <c r="B2" i="84" s="1"/>
  <c r="C28" i="83"/>
  <c r="C27" i="83" s="1"/>
  <c r="C25" i="83"/>
  <c r="C22" i="83" s="1"/>
  <c r="C28" i="68"/>
  <c r="C27" i="68" s="1"/>
  <c r="C22" i="68"/>
  <c r="B3" i="84"/>
  <c r="C57" i="84" l="1"/>
  <c r="C56" i="84" s="1"/>
  <c r="C31" i="83"/>
  <c r="C52" i="83" s="1"/>
  <c r="B2" i="83" s="1"/>
  <c r="C31" i="68"/>
  <c r="C52" i="68" s="1"/>
  <c r="C57" i="68" s="1"/>
  <c r="C56" i="68" s="1"/>
  <c r="B3" i="83"/>
  <c r="C57" i="83" l="1"/>
  <c r="C56" i="83" s="1"/>
  <c r="B2" i="68"/>
  <c r="C19" i="9"/>
  <c r="C21" i="9" l="1"/>
  <c r="G19" i="9"/>
  <c r="C32" i="9" s="1"/>
  <c r="C102" i="9"/>
  <c r="D22" i="9"/>
  <c r="B3" i="68"/>
  <c r="C20" i="9"/>
  <c r="D35" i="9"/>
  <c r="D34" i="9"/>
  <c r="G21" i="9" l="1"/>
  <c r="D15" i="74"/>
  <c r="G20" i="9"/>
  <c r="C103" i="9"/>
  <c r="H118" i="9"/>
  <c r="C35" i="9"/>
  <c r="F118" i="9" s="1"/>
  <c r="F15" i="74" l="1"/>
  <c r="E15" i="74"/>
  <c r="C34" i="9"/>
  <c r="D118" i="9" s="1"/>
  <c r="D4" i="52" s="1"/>
  <c r="B47" i="72" s="1"/>
  <c r="I118" i="9"/>
  <c r="H4" i="52"/>
  <c r="H119" i="9"/>
  <c r="H5" i="52" s="1"/>
  <c r="H101" i="9"/>
  <c r="D14" i="74"/>
  <c r="C104" i="9"/>
  <c r="G118" i="9"/>
  <c r="G4" i="52" s="1"/>
  <c r="B52" i="72" s="1"/>
  <c r="F4" i="52"/>
  <c r="B51" i="72" s="1"/>
  <c r="F119" i="9"/>
  <c r="F5" i="52" s="1"/>
  <c r="B53" i="72" s="1"/>
  <c r="G15" i="74" l="1"/>
  <c r="D119" i="9"/>
  <c r="D5" i="52" s="1"/>
  <c r="B49" i="72" s="1"/>
  <c r="E14" i="74"/>
  <c r="F14" i="74"/>
  <c r="B5" i="74"/>
  <c r="C105" i="9"/>
  <c r="I4" i="52"/>
  <c r="H102" i="9"/>
  <c r="D7" i="53" s="1"/>
  <c r="B21" i="72" s="1"/>
  <c r="E118" i="9"/>
  <c r="E4" i="52" s="1"/>
  <c r="B48" i="72" s="1"/>
  <c r="D5" i="53"/>
  <c r="M48" i="9"/>
  <c r="H107" i="9"/>
  <c r="D45" i="9"/>
  <c r="D55" i="9" l="1"/>
  <c r="M53" i="9" s="1"/>
  <c r="C64" i="9"/>
  <c r="C63" i="9" s="1"/>
  <c r="C67" i="9" s="1"/>
  <c r="C68" i="9" s="1"/>
  <c r="D54" i="9" s="1"/>
  <c r="C93" i="9"/>
  <c r="C86" i="9" s="1"/>
  <c r="D53" i="9"/>
  <c r="D52" i="9"/>
  <c r="C72" i="9"/>
  <c r="C78" i="9"/>
  <c r="C73" i="9" s="1"/>
  <c r="C85" i="9"/>
  <c r="D5" i="74"/>
  <c r="C5" i="74"/>
  <c r="M49" i="9"/>
  <c r="D13" i="53"/>
  <c r="D122" i="9"/>
  <c r="H108" i="9"/>
  <c r="D15" i="53" s="1"/>
  <c r="B31" i="72" s="1"/>
  <c r="B20" i="72"/>
  <c r="D6" i="53"/>
  <c r="B22" i="72" s="1"/>
  <c r="L68" i="9" l="1"/>
  <c r="M68" i="9" s="1"/>
  <c r="L63" i="9"/>
  <c r="M63" i="9" s="1"/>
  <c r="L64" i="9"/>
  <c r="M64" i="9" s="1"/>
  <c r="L66" i="9"/>
  <c r="M66" i="9" s="1"/>
  <c r="L65" i="9"/>
  <c r="M65" i="9" s="1"/>
  <c r="L67" i="9"/>
  <c r="M67" i="9" s="1"/>
  <c r="B30" i="72"/>
  <c r="D14" i="53"/>
  <c r="B32" i="72" s="1"/>
  <c r="C95" i="9"/>
  <c r="C79" i="9"/>
  <c r="G14" i="74"/>
  <c r="B6" i="74" s="1"/>
  <c r="D123" i="9"/>
  <c r="D9" i="52" s="1"/>
  <c r="D8" i="52"/>
  <c r="M69" i="9" l="1"/>
  <c r="N69" i="9" s="1"/>
  <c r="D6" i="74"/>
  <c r="C6" i="74"/>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<sst xmlns="http://schemas.openxmlformats.org/spreadsheetml/2006/main" count="8978" uniqueCount="3432">
  <si>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</si>
  <si>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</si>
  <si>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</si>
  <si>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</si>
  <si>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</si>
  <si>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</si>
  <si>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</si>
  <si>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</si>
  <si>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</si>
  <si>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</si>
  <si>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</si>
  <si>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</si>
  <si>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</si>
  <si>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</si>
  <si>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</si>
  <si>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</si>
  <si>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</si>
  <si>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</si>
  <si>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</si>
  <si>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</si>
  <si>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</si>
  <si>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</si>
  <si>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</si>
  <si>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</si>
  <si>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</si>
  <si>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</si>
  <si>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</si>
  <si>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</si>
  <si>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</si>
  <si>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</si>
  <si>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</si>
  <si>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</si>
  <si>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</si>
  <si>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</si>
  <si>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</si>
  <si>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</si>
  <si>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</si>
  <si>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</si>
  <si>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</si>
  <si>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</si>
  <si>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</si>
  <si>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</si>
  <si>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</si>
  <si>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</si>
  <si>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</si>
  <si>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</si>
  <si>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</si>
  <si>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</si>
  <si>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</si>
  <si>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</si>
  <si>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</si>
  <si>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</si>
  <si>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</si>
  <si>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</si>
  <si>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</si>
  <si>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</si>
  <si>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</si>
  <si>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</si>
  <si>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</si>
  <si>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</si>
  <si>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</si>
  <si>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</si>
  <si>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</si>
  <si>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</si>
  <si>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</si>
  <si>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</si>
  <si>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</si>
  <si>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</si>
  <si>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</si>
  <si>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</si>
  <si>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</si>
  <si>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</si>
  <si>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</si>
  <si>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</si>
  <si>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</si>
  <si>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</si>
  <si>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</si>
  <si>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</si>
  <si>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</si>
  <si>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</si>
  <si>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</si>
  <si>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</si>
  <si>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</si>
  <si>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</si>
  <si>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</si>
  <si>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</si>
  <si>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</si>
  <si>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</si>
  <si>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</si>
  <si>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</si>
  <si>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</si>
  <si>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</si>
  <si>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</si>
  <si>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</si>
  <si>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</si>
  <si>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</si>
  <si>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</si>
  <si>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</si>
  <si>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</si>
  <si>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</si>
  <si>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</si>
  <si>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</si>
  <si>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</si>
  <si>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</si>
  <si>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</si>
  <si>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</si>
  <si>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</si>
  <si>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</si>
  <si>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</si>
  <si>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</si>
  <si>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</si>
  <si>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</si>
  <si>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</si>
  <si>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</si>
  <si>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</si>
  <si>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</si>
  <si>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</si>
  <si>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</si>
  <si>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</si>
  <si>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</si>
  <si>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</si>
  <si>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</si>
  <si>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</si>
  <si>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</si>
  <si>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</si>
  <si>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</si>
  <si>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</si>
  <si>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</si>
  <si>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</si>
  <si>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</si>
  <si>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</si>
  <si>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</si>
  <si>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</si>
  <si>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</si>
  <si>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</si>
  <si>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</si>
  <si>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</si>
  <si>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</si>
  <si>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</si>
  <si>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</si>
  <si>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</si>
  <si>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</si>
  <si>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</si>
  <si>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</si>
  <si>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</si>
  <si>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</si>
  <si>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</si>
  <si>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</si>
  <si>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</si>
  <si>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</si>
  <si>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</si>
  <si>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</si>
  <si>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</si>
  <si>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</si>
  <si>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</si>
  <si>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</si>
  <si>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</si>
  <si>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</si>
  <si>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</si>
  <si>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</si>
  <si>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</si>
  <si>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</si>
  <si>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</si>
  <si>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</si>
  <si>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</si>
  <si>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</si>
  <si>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</si>
  <si>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</si>
  <si>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</si>
  <si>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</si>
  <si>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</si>
  <si>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</si>
  <si>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</si>
  <si>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</si>
  <si>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</si>
  <si>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</si>
  <si>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</si>
  <si>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</si>
  <si>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</si>
  <si>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</si>
  <si>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</si>
  <si>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</si>
  <si>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</si>
  <si>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</si>
  <si>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</si>
  <si>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</si>
  <si>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</si>
  <si>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</si>
  <si>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</si>
  <si>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</si>
  <si>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</si>
  <si>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</si>
  <si>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</si>
  <si>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</si>
  <si>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</si>
  <si>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</si>
  <si>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</si>
  <si>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</si>
  <si>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</si>
  <si>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</si>
  <si>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</si>
  <si>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</si>
  <si>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</si>
  <si>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</si>
  <si>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</si>
  <si>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</si>
  <si>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</si>
  <si>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</si>
  <si>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</si>
  <si>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</si>
  <si>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</si>
  <si>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</si>
  <si>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</si>
  <si>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</si>
  <si>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</si>
  <si>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</si>
  <si>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</si>
  <si>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</si>
  <si>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</si>
  <si>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</si>
  <si>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</si>
  <si>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</si>
  <si>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</si>
  <si>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</si>
  <si>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</si>
  <si>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</si>
  <si>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</si>
  <si>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</si>
  <si>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</si>
  <si>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</si>
  <si>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</si>
  <si>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</si>
  <si>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</si>
  <si>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</si>
  <si>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</si>
  <si>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</si>
  <si>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</si>
  <si>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</si>
  <si>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</si>
  <si>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</si>
  <si>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</si>
  <si>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</si>
  <si>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</si>
  <si>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</si>
  <si>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</si>
  <si>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</si>
  <si>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</si>
  <si>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</si>
  <si>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</si>
  <si>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</si>
  <si>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</si>
  <si>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</si>
  <si>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</si>
  <si>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</si>
  <si>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</si>
  <si>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</si>
  <si>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</si>
  <si>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</si>
  <si>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</si>
  <si>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</si>
  <si>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</si>
  <si>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</si>
  <si>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</si>
  <si>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</si>
  <si>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</si>
  <si>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</si>
  <si>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</si>
  <si>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</si>
  <si>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</si>
  <si>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</si>
  <si>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</si>
  <si>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</si>
  <si>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</si>
  <si>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</si>
  <si>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</si>
  <si>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</si>
  <si>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</si>
  <si>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</si>
  <si>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</si>
  <si>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</si>
  <si>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</si>
  <si>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</si>
  <si>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</si>
  <si>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</si>
  <si>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</si>
  <si>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</si>
  <si>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</si>
  <si>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</si>
  <si>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</si>
  <si>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</si>
  <si>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</si>
  <si>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</si>
  <si>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</si>
  <si>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</si>
  <si>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</si>
  <si>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</si>
  <si>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</si>
  <si>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</si>
  <si>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</si>
  <si>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</si>
  <si>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</si>
  <si>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</si>
  <si>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</si>
  <si>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</si>
  <si>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</si>
  <si>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</si>
  <si>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</si>
  <si>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</si>
  <si>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</si>
  <si>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</si>
  <si>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</si>
  <si>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</si>
  <si>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</si>
  <si>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</si>
  <si>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</si>
  <si>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</si>
  <si>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</si>
  <si>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</si>
  <si>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</si>
  <si>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</si>
  <si>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</si>
  <si>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</si>
  <si>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</si>
  <si>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</si>
  <si>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</si>
  <si>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</si>
  <si>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</si>
  <si>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</si>
  <si>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</si>
  <si>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</si>
  <si>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</si>
  <si>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</si>
  <si>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</si>
  <si>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</si>
  <si>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</si>
  <si>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</si>
  <si>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</si>
  <si>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</si>
  <si>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</si>
  <si>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</si>
  <si>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</si>
  <si>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</si>
  <si>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</si>
  <si>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</si>
  <si>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</si>
  <si>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</si>
  <si>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</si>
  <si>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</si>
  <si>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</si>
  <si>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</si>
  <si>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</si>
  <si>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</si>
  <si>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</si>
  <si>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</si>
  <si>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</si>
  <si>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</si>
  <si>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</si>
  <si>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</si>
  <si>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</si>
  <si>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</si>
  <si>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</si>
  <si>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</si>
  <si>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</si>
  <si>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</si>
  <si>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</si>
  <si>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</si>
  <si>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</si>
  <si>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</si>
  <si>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</si>
  <si>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</si>
  <si>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</si>
  <si>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</si>
  <si>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</si>
  <si>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</si>
  <si>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</si>
  <si>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</si>
  <si>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</si>
  <si>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</si>
  <si>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</si>
  <si>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</si>
  <si>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</si>
  <si>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</si>
  <si>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</si>
  <si>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</si>
  <si>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</si>
  <si>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</si>
  <si>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</si>
  <si>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</si>
  <si>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</si>
  <si>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</si>
  <si>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</si>
  <si>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</si>
  <si>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</si>
  <si>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</si>
  <si>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</si>
  <si>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</si>
  <si>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</si>
  <si>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</si>
  <si>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</si>
  <si>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</si>
  <si>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</si>
  <si>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</si>
  <si>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</si>
  <si>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</si>
  <si>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</si>
  <si>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</si>
  <si>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</si>
  <si>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</si>
  <si>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</si>
  <si>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</si>
  <si>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</si>
  <si>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</si>
  <si>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</si>
  <si>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</si>
  <si>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</si>
  <si>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</si>
  <si>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</si>
  <si>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</si>
  <si>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</si>
  <si>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</si>
  <si>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</si>
  <si>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</si>
  <si>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</si>
  <si>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</si>
  <si>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</si>
  <si>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</si>
  <si>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</si>
  <si>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</si>
  <si>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</si>
  <si>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</si>
  <si>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</si>
  <si>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</si>
  <si>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</si>
  <si>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</si>
  <si>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</si>
  <si>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</si>
  <si>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</si>
  <si>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</si>
  <si>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</si>
  <si>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</si>
  <si>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</si>
  <si>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</si>
  <si>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</si>
  <si>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</si>
  <si>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</si>
  <si>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</si>
  <si>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</si>
  <si>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</si>
  <si>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</si>
  <si>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</si>
  <si>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</si>
  <si>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</si>
  <si>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</si>
  <si>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</si>
  <si>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</si>
  <si>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</si>
  <si>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</si>
  <si>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</si>
  <si>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</si>
  <si>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</si>
  <si>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</si>
  <si>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</si>
  <si>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</si>
  <si>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</si>
  <si>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</si>
  <si>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</si>
  <si>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</si>
  <si>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</si>
  <si>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</si>
  <si>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</si>
  <si>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</si>
  <si>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</si>
  <si>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</si>
  <si>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</si>
  <si>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</si>
  <si>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</si>
  <si>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</si>
  <si>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</si>
  <si>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</si>
  <si>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</si>
  <si>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</si>
  <si>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</si>
  <si>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</si>
  <si>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</si>
  <si>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</si>
  <si>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</si>
  <si>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</si>
  <si>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</si>
  <si>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</si>
  <si>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</si>
  <si>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</si>
  <si>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</si>
  <si>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</si>
  <si>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</si>
  <si>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</si>
  <si>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</si>
  <si>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</si>
  <si>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</si>
  <si>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</si>
  <si>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</si>
  <si>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</si>
  <si>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</si>
  <si>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</si>
  <si>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</si>
  <si>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</si>
  <si>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</si>
  <si>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</si>
  <si>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</si>
  <si>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</si>
  <si>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</si>
  <si>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</si>
  <si>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</si>
  <si>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</si>
  <si>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</si>
  <si>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</si>
  <si>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</si>
  <si>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</si>
  <si>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</si>
  <si>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</si>
  <si>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</si>
  <si>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</si>
  <si>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</si>
  <si>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</si>
  <si>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</si>
  <si>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</si>
  <si>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</si>
  <si>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</si>
  <si>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</si>
  <si>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</si>
  <si>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</si>
  <si>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</si>
  <si>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</si>
  <si>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</si>
  <si>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</si>
  <si>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</si>
  <si>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</si>
  <si>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</si>
  <si>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</si>
  <si>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</si>
  <si>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</si>
  <si>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</si>
  <si>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</si>
  <si>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</si>
  <si>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</si>
  <si>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</si>
  <si>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</si>
  <si>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</si>
  <si>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</si>
  <si>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</si>
  <si>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</si>
  <si>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</si>
  <si>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</si>
  <si>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</si>
  <si>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</si>
  <si>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</si>
  <si>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</si>
  <si>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</si>
  <si>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</si>
  <si>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</si>
  <si>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</si>
  <si>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</si>
  <si>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</si>
  <si>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</si>
  <si>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</si>
  <si>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</si>
  <si>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</si>
  <si>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</si>
  <si>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</si>
  <si>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</si>
  <si>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</si>
  <si>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</si>
  <si>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</si>
  <si>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</si>
  <si>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</si>
  <si>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</si>
  <si>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</si>
  <si>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</si>
  <si>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</si>
  <si>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</si>
  <si>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</si>
  <si>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</si>
  <si>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</si>
  <si>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</si>
  <si>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</si>
  <si>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</si>
  <si>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</si>
  <si>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</si>
  <si>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</si>
  <si>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</si>
  <si>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</si>
  <si>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</si>
  <si>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</si>
  <si>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</si>
  <si>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</si>
  <si>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</si>
  <si>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</si>
  <si>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</si>
  <si>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</si>
  <si>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</si>
  <si>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</si>
  <si>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</si>
  <si>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</si>
  <si>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</si>
  <si>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</si>
  <si>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</si>
  <si>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</si>
  <si>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</si>
  <si>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</si>
  <si>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</si>
  <si>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</si>
  <si>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</si>
  <si>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</si>
  <si>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</si>
  <si>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</si>
  <si>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</si>
  <si>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</si>
  <si>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</si>
  <si>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</si>
  <si>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</si>
  <si>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</si>
  <si>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</si>
  <si>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</si>
  <si>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</si>
  <si>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</si>
  <si>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</si>
  <si>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</si>
  <si>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</si>
  <si>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</si>
  <si>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</si>
  <si>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</si>
  <si>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</si>
  <si>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</si>
  <si>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</si>
  <si>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</si>
  <si>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</si>
  <si>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</si>
  <si>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</si>
  <si>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</si>
  <si>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</si>
  <si>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</si>
  <si>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</si>
  <si>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</si>
  <si>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</si>
  <si>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</si>
  <si>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</si>
  <si>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</si>
  <si>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</si>
  <si>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</si>
  <si>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</si>
  <si>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</si>
  <si>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</si>
  <si>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</si>
  <si>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</si>
  <si>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</si>
  <si>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</si>
  <si>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</si>
  <si>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</si>
  <si>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</si>
  <si>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</si>
  <si>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</si>
  <si>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</si>
  <si>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</si>
  <si>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</si>
  <si>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</si>
  <si>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</si>
  <si>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</si>
  <si>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</si>
  <si>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</si>
  <si>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</si>
  <si>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</si>
  <si>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</si>
  <si>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</si>
  <si>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</si>
  <si>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</si>
  <si>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</si>
  <si>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</si>
  <si>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</si>
  <si>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</si>
  <si>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</si>
  <si>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</si>
  <si>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</si>
  <si>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</si>
  <si>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</si>
  <si>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</si>
  <si>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</si>
  <si>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</si>
  <si>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</si>
  <si>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</si>
  <si>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</si>
  <si>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</si>
  <si>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</si>
  <si>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</si>
  <si>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</si>
  <si>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</si>
  <si>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</si>
  <si>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</si>
  <si>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</si>
  <si>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</si>
  <si>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</si>
  <si>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</si>
  <si>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</si>
  <si>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</si>
  <si>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</si>
  <si>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</si>
  <si>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</si>
  <si>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</si>
  <si>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</si>
  <si>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</si>
  <si>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</si>
  <si>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</si>
  <si>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</si>
  <si>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</si>
  <si>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</si>
  <si>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</si>
  <si>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</si>
  <si>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</si>
  <si>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</si>
  <si>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</si>
  <si>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</si>
  <si>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</si>
  <si>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</si>
  <si>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</si>
  <si>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</si>
  <si>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</si>
  <si>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</si>
  <si>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</si>
  <si>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</si>
  <si>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</si>
  <si>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</si>
  <si>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</si>
  <si>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</si>
  <si>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</si>
  <si>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</si>
  <si>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</si>
  <si>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</si>
  <si>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</si>
  <si>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</si>
  <si>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</si>
  <si>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</si>
  <si>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</si>
  <si>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</si>
  <si>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</si>
  <si>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</si>
  <si>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</si>
  <si>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</si>
  <si>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</si>
  <si>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</si>
  <si>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</si>
  <si>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</si>
  <si>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</si>
  <si>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</si>
  <si>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</si>
  <si>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</si>
  <si>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</si>
  <si>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</si>
  <si>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</si>
  <si>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</si>
  <si>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</si>
  <si>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</si>
  <si>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</si>
  <si>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</si>
  <si>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</si>
  <si>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</si>
  <si>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</si>
  <si>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</si>
  <si>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</si>
  <si>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</si>
  <si>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</si>
  <si>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</si>
  <si>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</si>
  <si>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</si>
  <si>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</si>
  <si>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</si>
  <si>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</si>
  <si>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</si>
  <si>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</si>
  <si>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</si>
  <si>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</si>
  <si>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</si>
  <si>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</si>
  <si>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</si>
  <si>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</si>
  <si>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</si>
  <si>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</si>
  <si>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</si>
  <si>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</si>
  <si>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</si>
  <si>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</si>
  <si>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</si>
  <si>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</si>
  <si>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</si>
  <si>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</si>
  <si>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</si>
  <si>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</si>
  <si>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</si>
  <si>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</si>
  <si>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</si>
  <si>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</si>
  <si>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</si>
  <si>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</si>
  <si>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</si>
  <si>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</si>
  <si>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</si>
  <si>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</si>
  <si>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</si>
  <si>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</si>
  <si>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</si>
  <si>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</si>
  <si>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</si>
  <si>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</si>
  <si>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</si>
  <si>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</si>
  <si>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</si>
  <si>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</si>
  <si>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</si>
  <si>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</si>
  <si>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</si>
  <si>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</si>
  <si>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</si>
  <si>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</si>
  <si>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</si>
  <si>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</si>
  <si>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</si>
  <si>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</si>
  <si>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</si>
  <si>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</si>
  <si>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</si>
  <si>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</si>
  <si>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</si>
  <si>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</si>
  <si>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</si>
  <si>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</si>
  <si>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</si>
  <si>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</si>
  <si>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</si>
  <si>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</si>
  <si>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</si>
  <si>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</si>
  <si>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</si>
  <si>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</si>
  <si>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</si>
  <si>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</si>
  <si>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</si>
  <si>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</si>
  <si>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</si>
  <si>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</si>
  <si>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</si>
  <si>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</si>
  <si>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</si>
  <si>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</si>
  <si>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</si>
  <si>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</si>
  <si>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</si>
  <si>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</si>
  <si>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</si>
  <si>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</si>
  <si>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</si>
  <si>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</si>
  <si>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</si>
  <si>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</si>
  <si>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</si>
  <si>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</si>
  <si>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</si>
  <si>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</si>
  <si>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</si>
  <si>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</si>
  <si>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</si>
  <si>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</si>
  <si>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</si>
  <si>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</si>
  <si>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</si>
  <si>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</si>
  <si>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</si>
  <si>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</si>
  <si>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</si>
  <si>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</si>
  <si>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</si>
  <si>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</si>
  <si>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</si>
  <si>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</si>
  <si>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</si>
  <si>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</si>
  <si>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</si>
  <si>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</si>
  <si>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</si>
  <si>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</si>
  <si>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</si>
  <si>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</si>
  <si>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</si>
  <si>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</si>
  <si>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</si>
  <si>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</si>
  <si>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</si>
  <si>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</si>
  <si>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</si>
  <si>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</si>
  <si>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</si>
  <si>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</si>
  <si>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</si>
  <si>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</si>
  <si>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</si>
  <si>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</si>
  <si>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</si>
  <si>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</si>
  <si>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</si>
  <si>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</si>
  <si>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</si>
  <si>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</si>
  <si>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</si>
  <si>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</si>
  <si>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</si>
  <si>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</si>
  <si>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</si>
  <si>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</si>
  <si>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</si>
  <si>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</si>
  <si>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</si>
  <si>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</si>
  <si>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</si>
  <si>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</si>
  <si>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</si>
  <si>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</si>
  <si>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</si>
  <si>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</si>
  <si>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</si>
  <si>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</si>
  <si>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</si>
  <si>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</si>
  <si>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</si>
  <si>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</si>
  <si>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</si>
  <si>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</si>
  <si>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</si>
  <si>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</si>
  <si>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</si>
  <si>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</si>
  <si>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</si>
  <si>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</si>
  <si>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</si>
  <si>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</si>
  <si>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</si>
  <si>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</si>
  <si>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</si>
  <si>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</si>
  <si>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</si>
  <si>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</si>
  <si>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</si>
  <si>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</si>
  <si>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</si>
  <si>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</si>
  <si>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</si>
  <si>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</si>
  <si>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</si>
  <si>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</si>
  <si>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</si>
  <si>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</si>
  <si>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</si>
  <si>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</si>
  <si>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</si>
  <si>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</si>
  <si>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</si>
  <si>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</si>
  <si>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</si>
  <si>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</si>
  <si>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</si>
  <si>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</si>
  <si>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</si>
  <si>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</si>
  <si>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</si>
  <si>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</si>
  <si>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</si>
  <si>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</si>
  <si>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</si>
  <si>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</si>
  <si>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</si>
  <si>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</si>
  <si>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</si>
  <si>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</si>
  <si>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</si>
  <si>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</si>
  <si>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</si>
  <si>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</si>
  <si>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</si>
  <si>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</si>
  <si>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</si>
  <si>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</si>
  <si>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</si>
  <si>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</si>
  <si>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</si>
  <si>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</si>
  <si>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</si>
  <si>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</si>
  <si>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</si>
  <si>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</si>
  <si>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</si>
  <si>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</si>
  <si>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</si>
  <si>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</si>
  <si>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</si>
  <si>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</si>
  <si>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</si>
  <si>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</si>
  <si>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</si>
  <si>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</si>
  <si>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</si>
  <si>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</si>
  <si>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</si>
  <si>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</si>
  <si>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</si>
  <si>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</si>
  <si>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</si>
  <si>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</si>
  <si>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</si>
  <si>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</si>
  <si>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</si>
  <si>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</si>
  <si>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</si>
  <si>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</si>
  <si>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</si>
  <si>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</si>
  <si>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</si>
  <si>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</si>
  <si>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</si>
  <si>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</si>
  <si>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</si>
  <si>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</si>
  <si>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</si>
  <si>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</si>
  <si>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</si>
  <si>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</si>
  <si>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</si>
  <si>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</si>
  <si>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</si>
  <si>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</si>
  <si>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</si>
  <si>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</si>
  <si>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</si>
  <si>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</si>
  <si>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</si>
  <si>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</si>
  <si>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</si>
  <si>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</si>
  <si>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</si>
  <si>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</si>
  <si>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</si>
  <si>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</si>
  <si>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</si>
  <si>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</si>
  <si>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</si>
  <si>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</si>
  <si>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</si>
  <si>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</si>
  <si>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</si>
  <si>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</si>
  <si>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</si>
  <si>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</si>
  <si>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</si>
  <si>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</si>
  <si>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</si>
  <si>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</si>
  <si>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</si>
  <si>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</si>
  <si>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</si>
  <si>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</si>
  <si>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</si>
  <si>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</si>
  <si>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</si>
  <si>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</si>
  <si>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</si>
  <si>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</si>
  <si>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</si>
  <si>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</si>
  <si>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</si>
  <si>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</si>
  <si>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</si>
  <si>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</si>
  <si>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</si>
  <si>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</si>
  <si>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</si>
  <si>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</si>
  <si>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</si>
  <si>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</si>
  <si>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</si>
  <si>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</si>
  <si>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</si>
  <si>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</si>
  <si>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</si>
  <si>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</si>
  <si>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</si>
  <si>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</si>
  <si>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</si>
  <si>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</si>
  <si>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</si>
  <si>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</si>
  <si>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</si>
  <si>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</si>
  <si>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</si>
  <si>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</si>
  <si>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</si>
  <si>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</si>
  <si>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</si>
  <si>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</si>
  <si>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</si>
  <si>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</si>
  <si>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</si>
  <si>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</si>
  <si>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</si>
  <si>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</si>
  <si>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</si>
  <si>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</si>
  <si>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</si>
  <si>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</si>
  <si>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</si>
  <si>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</si>
  <si>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</si>
  <si>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</si>
  <si>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</si>
  <si>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</si>
  <si>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</si>
  <si>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</si>
  <si>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</si>
  <si>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</si>
  <si>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</si>
  <si>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</si>
  <si>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</si>
  <si>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</si>
  <si>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</si>
  <si>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</si>
  <si>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</si>
  <si>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</si>
  <si>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</si>
  <si>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</si>
  <si>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</si>
  <si>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</si>
  <si>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</si>
  <si>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</si>
  <si>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</si>
  <si>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</si>
  <si>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</si>
  <si>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</si>
  <si>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</si>
  <si>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</si>
  <si>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</si>
  <si>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</si>
  <si>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</si>
  <si>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</si>
  <si>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</si>
  <si>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</si>
  <si>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</si>
  <si>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</si>
  <si>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</si>
  <si>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</si>
  <si>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</si>
  <si>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</si>
  <si>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</si>
  <si>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</si>
  <si>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</si>
  <si>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</si>
  <si>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</si>
  <si>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</si>
  <si>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</si>
  <si>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</si>
  <si>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</si>
  <si>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</si>
  <si>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</si>
  <si>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</si>
  <si>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</si>
  <si>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</si>
  <si>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</si>
  <si>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</si>
  <si>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</si>
  <si>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</si>
  <si>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</si>
  <si>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</si>
  <si>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</si>
  <si>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</si>
  <si>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</si>
  <si>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</si>
  <si>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</si>
  <si>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</si>
  <si>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</si>
  <si>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</si>
  <si>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</si>
  <si>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</si>
  <si>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</si>
  <si>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</si>
  <si>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</si>
  <si>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</si>
  <si>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</si>
  <si>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</si>
  <si>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</si>
  <si>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</si>
  <si>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</si>
  <si>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</si>
  <si>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</si>
  <si>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</si>
  <si>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</si>
  <si>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</si>
  <si>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</si>
  <si>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</si>
  <si>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</si>
  <si>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</si>
  <si>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</si>
  <si>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</si>
  <si>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</si>
  <si>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</si>
  <si>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</si>
  <si>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</si>
  <si>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</si>
  <si>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</si>
  <si>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</si>
  <si>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</si>
  <si>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</si>
  <si>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</si>
  <si>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</si>
  <si>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</si>
  <si>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</si>
  <si>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</si>
  <si>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</si>
  <si>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</si>
  <si>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</si>
  <si>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</si>
  <si>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</si>
  <si>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</si>
  <si>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</si>
  <si>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</si>
  <si>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</si>
  <si>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</si>
  <si>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</si>
  <si>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</si>
  <si>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</si>
  <si>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</si>
  <si>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</si>
  <si>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</si>
  <si>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</si>
  <si>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</si>
  <si>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</si>
  <si>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</si>
  <si>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</si>
  <si>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</si>
  <si>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</si>
  <si>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</si>
  <si>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</si>
  <si>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</si>
  <si>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</si>
  <si>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</si>
  <si>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</si>
  <si>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</si>
  <si>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</si>
  <si>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</si>
  <si>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</si>
  <si>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</si>
  <si>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</si>
  <si>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</si>
  <si>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</si>
  <si>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</si>
  <si>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</si>
  <si>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</si>
  <si>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</si>
  <si>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</si>
  <si>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</si>
  <si>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</si>
  <si>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</si>
  <si>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</si>
  <si>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</si>
  <si>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</si>
  <si>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</si>
  <si>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</si>
  <si>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</si>
  <si>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</si>
  <si>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</si>
  <si>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</si>
  <si>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</si>
  <si>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</si>
  <si>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</si>
  <si>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</si>
  <si>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</si>
  <si>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</si>
  <si>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</si>
  <si>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</si>
  <si>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</si>
  <si>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</si>
  <si>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</si>
  <si>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</si>
  <si>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</si>
  <si>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</si>
  <si>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</si>
  <si>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</si>
  <si>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</si>
  <si>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</si>
  <si>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</si>
  <si>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</si>
  <si>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</si>
  <si>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</si>
  <si>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</si>
  <si>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</si>
  <si>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</si>
  <si>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</si>
  <si>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</si>
  <si>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</si>
  <si>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</si>
  <si>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</si>
  <si>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</si>
  <si>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</si>
  <si>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</si>
  <si>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</si>
  <si>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</si>
  <si>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</si>
  <si>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</si>
  <si>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</si>
  <si>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</si>
  <si>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</si>
  <si>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</si>
  <si>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</si>
  <si>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</si>
  <si>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</si>
  <si>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</si>
  <si>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</si>
  <si>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</si>
  <si>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</si>
  <si>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</si>
  <si>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</si>
  <si>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</si>
  <si>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</si>
  <si>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</si>
  <si>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</si>
  <si>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</si>
  <si>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</si>
  <si>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</si>
  <si>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</si>
  <si>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</si>
  <si>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</si>
  <si>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</si>
  <si>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</si>
  <si>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</si>
  <si>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</si>
  <si>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</si>
  <si>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</si>
  <si>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</si>
  <si>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</si>
  <si>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</si>
  <si>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</si>
  <si>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</si>
  <si>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</si>
  <si>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</si>
  <si>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</si>
  <si>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</si>
  <si>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</si>
  <si>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</si>
  <si>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</si>
  <si>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</si>
  <si>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</si>
  <si>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</si>
  <si>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</si>
  <si>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</si>
  <si>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</si>
  <si>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</si>
  <si>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</si>
  <si>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</si>
  <si>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</si>
  <si>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</si>
  <si>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</si>
  <si>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</si>
  <si>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</si>
  <si>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</si>
  <si>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</si>
  <si>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</si>
  <si>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</si>
  <si>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</si>
  <si>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</si>
  <si>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</si>
  <si>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</si>
  <si>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</si>
  <si>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</si>
  <si>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</si>
  <si>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</si>
  <si>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</si>
  <si>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</si>
  <si>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</si>
  <si>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</si>
  <si>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</si>
  <si>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</si>
  <si>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</si>
  <si>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</si>
  <si>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</si>
  <si>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</si>
  <si>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</si>
  <si>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</si>
  <si>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</si>
  <si>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</si>
  <si>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</si>
  <si>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</si>
  <si>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</si>
  <si>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</si>
  <si>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</si>
  <si>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</si>
  <si>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</si>
  <si>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</si>
  <si>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</si>
  <si>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</si>
  <si>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</si>
  <si>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</si>
  <si>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</si>
  <si>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</si>
  <si>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</si>
  <si>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</si>
  <si>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</si>
  <si>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</si>
  <si>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</si>
  <si>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</si>
  <si>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</si>
  <si>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</si>
  <si>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</si>
  <si>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</si>
  <si>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</si>
  <si>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</si>
  <si>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</si>
  <si>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</si>
  <si>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</si>
  <si>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</si>
  <si>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</si>
  <si>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</si>
  <si>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</si>
  <si>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</si>
  <si>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</si>
  <si>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</si>
  <si>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</si>
  <si>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</si>
  <si>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</si>
  <si>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</si>
  <si>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</si>
  <si>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</si>
  <si>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</si>
  <si>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</si>
  <si>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</si>
  <si>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</si>
  <si>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</si>
  <si>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</si>
  <si>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</si>
  <si>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</si>
  <si>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</si>
  <si>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</si>
  <si>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</si>
  <si>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</si>
  <si>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</si>
  <si>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</si>
  <si>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</si>
  <si>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</si>
  <si>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</si>
  <si>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</si>
  <si>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</si>
  <si>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</si>
  <si>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</si>
  <si>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</si>
  <si>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</si>
  <si>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</si>
  <si>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</si>
  <si>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</si>
  <si>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</si>
  <si>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</si>
  <si>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</si>
  <si>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</si>
  <si>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</si>
  <si>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</si>
  <si>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</si>
  <si>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</si>
  <si>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</si>
  <si>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</si>
  <si>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</si>
  <si>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</si>
  <si>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</si>
  <si>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</si>
  <si>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</si>
  <si>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</si>
  <si>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</si>
  <si>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</si>
  <si>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</si>
  <si>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</si>
  <si>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</si>
  <si>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</si>
  <si>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</si>
  <si>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</si>
  <si>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</si>
  <si>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</si>
  <si>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</si>
  <si>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</si>
  <si>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</si>
  <si>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</si>
  <si>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</si>
  <si>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</si>
  <si>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</si>
  <si>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</si>
  <si>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</si>
  <si>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</si>
  <si>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</si>
  <si>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</si>
  <si>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</si>
  <si>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</si>
  <si>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</si>
  <si>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</si>
  <si>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</si>
  <si>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</si>
  <si>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</si>
  <si>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</si>
  <si>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</si>
  <si>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</si>
  <si>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</si>
  <si>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</si>
  <si>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</si>
  <si>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</si>
  <si>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</si>
  <si>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</si>
  <si>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</si>
  <si>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</si>
  <si>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</si>
  <si>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</si>
  <si>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</si>
  <si>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</si>
  <si>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</si>
  <si>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</si>
  <si>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</si>
  <si>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</si>
  <si>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</si>
  <si>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</si>
  <si>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</si>
  <si>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</si>
  <si>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</si>
  <si>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</si>
  <si>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</si>
  <si>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</si>
  <si>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</si>
  <si>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</si>
  <si>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</si>
  <si>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</si>
  <si>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</si>
  <si>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</si>
  <si>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</si>
  <si>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</si>
  <si>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</si>
  <si>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</si>
  <si>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</si>
  <si>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</si>
  <si>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</si>
  <si>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</si>
  <si>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</si>
  <si>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</si>
  <si>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</si>
  <si>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</si>
  <si>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</si>
  <si>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</si>
  <si>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</si>
  <si>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</si>
  <si>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</si>
  <si>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</si>
  <si>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</si>
  <si>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</si>
  <si>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</si>
  <si>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</si>
  <si>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</si>
  <si>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</si>
  <si>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</si>
  <si>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</si>
  <si>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</si>
  <si>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</si>
  <si>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</si>
  <si>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</si>
  <si>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</si>
  <si>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</si>
  <si>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</si>
  <si>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</si>
  <si>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</si>
  <si>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</si>
  <si>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</si>
  <si>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</si>
  <si>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</si>
  <si>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</si>
  <si>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</si>
  <si>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</si>
  <si>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</si>
  <si>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</si>
  <si>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</si>
  <si>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</si>
  <si>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</si>
  <si>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</si>
  <si>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</si>
  <si>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</si>
  <si>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</si>
  <si>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</si>
  <si>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</si>
  <si>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</si>
  <si>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</si>
  <si>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</si>
  <si>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</si>
  <si>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</si>
  <si>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</si>
  <si>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</si>
  <si>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</si>
  <si>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</si>
  <si>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</si>
  <si>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</si>
  <si>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</si>
  <si>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</si>
  <si>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</si>
  <si>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</si>
  <si>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</si>
  <si>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</si>
  <si>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</si>
  <si>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</si>
  <si>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</si>
  <si>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</si>
  <si>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</si>
  <si>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</si>
  <si>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</si>
  <si>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</si>
  <si>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</si>
  <si>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</si>
  <si>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</si>
  <si>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</si>
  <si>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</si>
  <si>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</si>
  <si>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</si>
  <si>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</si>
  <si>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</si>
  <si>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</si>
  <si>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</si>
  <si>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</si>
  <si>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</si>
  <si>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</si>
  <si>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</si>
  <si>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</si>
  <si>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</si>
  <si>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</si>
  <si>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</si>
  <si>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</si>
  <si>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</si>
  <si>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</si>
  <si>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</si>
  <si>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</si>
  <si>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</si>
  <si>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</si>
  <si>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</si>
  <si>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</si>
  <si>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</si>
  <si>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</si>
  <si>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</si>
  <si>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</si>
  <si>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</si>
  <si>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</si>
  <si>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</si>
  <si>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</si>
  <si>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</si>
  <si>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</si>
  <si>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</si>
  <si>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</si>
  <si>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</si>
  <si>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</si>
  <si>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</si>
  <si>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</si>
  <si>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</si>
  <si>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</si>
  <si>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</si>
  <si>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</si>
  <si>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</si>
  <si>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</si>
  <si>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</si>
  <si>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</si>
  <si>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</si>
  <si>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</si>
  <si>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</si>
  <si>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</si>
  <si>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</si>
  <si>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</si>
  <si>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</si>
  <si>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</si>
  <si>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</si>
  <si>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</si>
  <si>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</si>
  <si>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</si>
  <si>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</si>
  <si>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</si>
  <si>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</si>
  <si>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</si>
  <si>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</si>
  <si>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</si>
  <si>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</si>
  <si>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</si>
  <si>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</si>
  <si>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</si>
  <si>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</si>
  <si>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</si>
  <si>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</si>
  <si>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</si>
  <si>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</si>
  <si>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</si>
  <si>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</si>
  <si>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</si>
  <si>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</si>
  <si>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</si>
  <si>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</si>
  <si>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</si>
  <si>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</si>
  <si>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</si>
  <si>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</si>
  <si>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</si>
  <si>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</si>
  <si>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</si>
  <si>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</si>
  <si>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</si>
  <si>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</si>
  <si>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</si>
  <si>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</si>
  <si>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</si>
  <si>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</si>
  <si>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</si>
  <si>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</si>
  <si>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</si>
  <si>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</si>
  <si>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</si>
  <si>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</si>
  <si>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</si>
  <si>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</si>
  <si>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</si>
  <si>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</si>
  <si>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</si>
  <si>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</si>
  <si>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</si>
  <si>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</si>
  <si>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</si>
  <si>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</si>
  <si>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</si>
  <si>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</si>
  <si>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</si>
  <si>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</si>
  <si>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</si>
  <si>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</si>
  <si>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</si>
  <si>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</si>
  <si>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</si>
  <si>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</si>
  <si>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</si>
  <si>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</si>
  <si>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</si>
  <si>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</si>
  <si>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</si>
  <si>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</si>
  <si>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</si>
  <si>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</si>
  <si>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</si>
  <si>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</si>
  <si>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</si>
  <si>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</si>
  <si>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</si>
  <si>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</si>
  <si>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</si>
  <si>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</si>
  <si>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</si>
  <si>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</si>
  <si>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</si>
  <si>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</si>
  <si>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</si>
  <si>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</si>
  <si>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</si>
  <si>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</si>
  <si>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</si>
  <si>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</si>
  <si>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</si>
  <si>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</si>
  <si>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</si>
  <si>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</si>
  <si>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</si>
  <si>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</si>
  <si>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</si>
  <si>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</si>
  <si>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</si>
  <si>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</si>
  <si>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</si>
  <si>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</si>
  <si>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</si>
  <si>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</si>
  <si>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</si>
  <si>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</si>
  <si>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</si>
  <si>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</si>
  <si>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</si>
  <si>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</si>
  <si>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</si>
  <si>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</si>
  <si>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</si>
  <si>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</si>
  <si>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</si>
  <si>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</si>
  <si>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</si>
  <si>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</si>
  <si>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</si>
  <si>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</si>
  <si>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</si>
  <si>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</si>
  <si>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</si>
  <si>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</si>
  <si>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</si>
  <si>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</si>
  <si>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</si>
  <si>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</si>
  <si>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</si>
  <si>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</si>
  <si>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</si>
  <si>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</si>
  <si>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</si>
  <si>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</si>
  <si>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</si>
  <si>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</si>
  <si>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</si>
  <si>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</si>
  <si>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</si>
  <si>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</si>
  <si>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</si>
  <si>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</si>
  <si>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</si>
  <si>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</si>
  <si>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</si>
  <si>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</si>
  <si>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</si>
  <si>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</si>
  <si>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</si>
  <si>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</si>
  <si>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</si>
  <si>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</si>
  <si>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</si>
  <si>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</si>
  <si>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</si>
  <si>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</si>
  <si>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</si>
  <si>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</si>
  <si>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</si>
  <si>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</si>
  <si>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</si>
  <si>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</si>
  <si>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</si>
  <si>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</si>
  <si>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</si>
  <si>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</si>
  <si>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</si>
  <si>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</si>
  <si>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</si>
  <si>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</si>
  <si>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</si>
  <si>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</si>
  <si>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</si>
  <si>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</si>
  <si>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</si>
  <si>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</si>
  <si>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</si>
  <si>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</si>
  <si>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</si>
  <si>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</si>
  <si>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</si>
  <si>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</si>
  <si>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</si>
  <si>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</si>
  <si>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</si>
  <si>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</si>
  <si>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</si>
  <si>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</si>
  <si>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</si>
  <si>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</si>
  <si>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</si>
  <si>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</si>
  <si>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</si>
  <si>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</si>
  <si>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</si>
  <si>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</si>
  <si>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</si>
  <si>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</si>
  <si>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</si>
  <si>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</si>
  <si>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</si>
  <si>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</si>
  <si>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</si>
  <si>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</si>
  <si>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</si>
  <si>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</si>
  <si>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</si>
  <si>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</si>
  <si>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</si>
  <si>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</si>
  <si>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</si>
  <si>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</si>
  <si>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</si>
  <si>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</si>
  <si>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</si>
  <si>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</si>
  <si>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</si>
  <si>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</si>
  <si>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</si>
  <si>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</si>
  <si>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</si>
  <si>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</si>
  <si>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</si>
  <si>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</si>
  <si>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</si>
  <si>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</si>
  <si>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</si>
  <si>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</si>
  <si>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</si>
  <si>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</si>
  <si>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</si>
  <si>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</si>
  <si>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</si>
  <si>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</si>
  <si>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</si>
  <si>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</si>
  <si>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</si>
  <si>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</si>
  <si>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</si>
  <si>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</si>
  <si>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</si>
  <si>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</si>
  <si>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</si>
  <si>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</si>
  <si>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</si>
  <si>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</si>
  <si>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</si>
  <si>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</si>
  <si>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</si>
  <si>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</si>
  <si>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</si>
  <si>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</si>
  <si>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</si>
  <si>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</si>
  <si>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</si>
  <si>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</si>
  <si>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</si>
  <si>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</si>
  <si>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</si>
  <si>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</si>
  <si>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</si>
  <si>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</si>
  <si>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</si>
  <si>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</si>
  <si>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</si>
  <si>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</si>
  <si>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</si>
  <si>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</si>
  <si>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</si>
  <si>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</si>
  <si>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</si>
  <si>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</si>
  <si>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</si>
  <si>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</si>
  <si>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</si>
  <si>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</si>
  <si>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</si>
  <si>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</si>
  <si>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</si>
  <si>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</si>
  <si>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</si>
  <si>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</si>
  <si>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</si>
  <si>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</si>
  <si>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</si>
  <si>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</si>
  <si>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</si>
  <si>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</si>
  <si>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</si>
  <si>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</si>
  <si>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</si>
  <si>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</si>
  <si>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</si>
  <si>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</si>
  <si>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</si>
  <si>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</si>
  <si>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</si>
  <si>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</si>
  <si>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</si>
  <si>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</si>
  <si>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</si>
  <si>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</si>
  <si>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</si>
  <si>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</si>
  <si>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</si>
  <si>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</si>
  <si>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</si>
  <si>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</si>
  <si>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</si>
  <si>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</si>
  <si>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</si>
  <si>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</si>
  <si>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</si>
  <si>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</si>
  <si>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</si>
  <si>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</si>
  <si>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</si>
  <si>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</si>
  <si>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</si>
  <si>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</si>
  <si>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</si>
  <si>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</si>
  <si>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</si>
  <si>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</si>
  <si>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</si>
  <si>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</si>
  <si>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</si>
  <si>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</si>
  <si>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</si>
  <si>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</si>
  <si>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</si>
  <si>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</si>
  <si>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</si>
  <si>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</si>
  <si>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</si>
  <si>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</si>
  <si>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</si>
  <si>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</si>
  <si>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</si>
  <si>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</si>
  <si>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</si>
  <si>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</si>
  <si>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</si>
  <si>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</si>
  <si>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</si>
  <si>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</si>
  <si>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</si>
  <si>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</si>
  <si>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</si>
  <si>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</si>
  <si>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</si>
  <si>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</si>
  <si>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</si>
  <si>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</si>
  <si>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</si>
  <si>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</si>
  <si>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</si>
  <si>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</si>
  <si>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</si>
  <si>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</si>
  <si>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</si>
  <si>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</si>
  <si>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</si>
  <si>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</si>
  <si>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</si>
  <si>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</si>
  <si>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</si>
  <si>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</si>
  <si>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</si>
  <si>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</si>
  <si>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</si>
  <si>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</si>
  <si>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</si>
  <si>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</si>
  <si>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</si>
  <si>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</si>
  <si>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</si>
  <si>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</si>
  <si>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</si>
  <si>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</si>
  <si>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</si>
  <si>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</si>
  <si>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</si>
  <si>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</si>
  <si>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</si>
  <si>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</si>
  <si>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</si>
  <si>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</si>
  <si>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</si>
  <si>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</si>
  <si>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</si>
  <si>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</si>
  <si>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</si>
  <si>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</si>
  <si>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</si>
  <si>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</si>
  <si>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</si>
  <si>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</si>
  <si>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</si>
  <si>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</si>
  <si>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</si>
  <si>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</si>
  <si>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</si>
  <si>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</si>
  <si>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</si>
  <si>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</si>
  <si>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</si>
  <si>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</si>
  <si>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</si>
  <si>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</si>
  <si>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</si>
  <si>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</si>
  <si>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</si>
  <si>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</si>
  <si>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</si>
  <si>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</si>
  <si>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</si>
  <si>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</si>
  <si>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</si>
  <si>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</si>
  <si>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</si>
  <si>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</si>
  <si>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</si>
  <si>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</si>
  <si>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</si>
  <si>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</si>
  <si>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</si>
  <si>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</si>
  <si>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</si>
  <si>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</si>
  <si>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</si>
  <si>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</si>
  <si>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</si>
  <si>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</si>
  <si>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</si>
  <si>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</si>
  <si>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</si>
  <si>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</si>
  <si>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</si>
  <si>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</si>
  <si>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</si>
  <si>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</si>
  <si>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</si>
  <si>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</si>
  <si>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</si>
  <si>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</si>
  <si>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</si>
  <si>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</si>
  <si>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</si>
  <si>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</si>
  <si>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</si>
  <si>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</si>
  <si>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</si>
  <si>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</si>
  <si>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</si>
  <si>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</si>
  <si>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</si>
  <si>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</si>
  <si>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</si>
  <si>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</si>
  <si>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</si>
  <si>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</si>
  <si>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</si>
  <si>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</si>
  <si>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</si>
  <si>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</si>
  <si>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</si>
  <si>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</si>
  <si>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</si>
  <si>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</si>
  <si>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</si>
  <si>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</si>
  <si>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</si>
  <si>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</si>
  <si>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</si>
  <si>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</si>
  <si>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</si>
  <si>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</si>
  <si>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</si>
  <si>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</si>
  <si>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</si>
  <si>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</si>
  <si>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</si>
  <si>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</si>
  <si>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</si>
  <si>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</si>
  <si>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</si>
  <si>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</si>
  <si>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</si>
  <si>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</si>
  <si>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</si>
  <si>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</si>
  <si>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</si>
  <si>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</si>
  <si>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</si>
  <si>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</si>
  <si>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</si>
  <si>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</si>
  <si>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</si>
  <si>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</si>
  <si>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</si>
  <si>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</si>
  <si>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</si>
  <si>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</si>
  <si>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</si>
  <si>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</si>
  <si>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</si>
  <si>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</si>
  <si>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</si>
  <si>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</si>
  <si>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</si>
  <si>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</si>
  <si>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</si>
  <si>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</si>
  <si>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</si>
  <si>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</si>
  <si>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</si>
  <si>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</si>
  <si>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</si>
  <si>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</si>
  <si>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</si>
  <si>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</si>
  <si>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</si>
  <si>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</si>
  <si>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</si>
  <si>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</si>
  <si>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</si>
  <si>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</si>
  <si>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</si>
  <si>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</si>
  <si>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</si>
  <si>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</si>
  <si>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</si>
  <si>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</si>
  <si>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</si>
  <si>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</si>
  <si>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</si>
  <si>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</si>
  <si>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</si>
  <si>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</si>
  <si>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</si>
  <si>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</si>
  <si>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</si>
  <si>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</si>
  <si>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</si>
  <si>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</si>
  <si>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</si>
  <si>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</si>
  <si>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</si>
  <si>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</si>
  <si>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</si>
  <si>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</si>
  <si>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</si>
  <si>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</si>
  <si>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</si>
  <si>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</si>
  <si>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</si>
  <si>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</si>
  <si>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</si>
  <si>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</si>
  <si>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</si>
  <si>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</si>
  <si>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</si>
  <si>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</si>
  <si>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</si>
  <si>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</si>
  <si>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</si>
  <si>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</si>
  <si>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</si>
  <si>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</si>
  <si>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</si>
  <si>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</si>
  <si>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</si>
  <si>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</si>
  <si>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</si>
  <si>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</si>
  <si>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</si>
  <si>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</si>
  <si>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</si>
  <si>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</si>
  <si>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</si>
  <si>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</si>
  <si>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</si>
  <si>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</si>
  <si>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</si>
  <si>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</si>
  <si>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</si>
  <si>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</si>
  <si>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</si>
  <si>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</si>
  <si>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</si>
  <si>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</si>
  <si>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</si>
  <si>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</si>
  <si>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</si>
  <si>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</si>
  <si>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</si>
  <si>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</si>
  <si>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</si>
  <si>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</si>
  <si>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</si>
  <si>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</si>
  <si>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</si>
  <si>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</si>
  <si>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</si>
  <si>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</si>
  <si>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</si>
  <si>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</si>
  <si>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</si>
  <si>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</si>
  <si>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</si>
  <si>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</si>
  <si>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</si>
  <si>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</si>
  <si>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</si>
  <si>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</si>
  <si>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</si>
  <si>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</si>
  <si>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</si>
  <si>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</si>
  <si>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</si>
  <si>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</si>
  <si>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</si>
  <si>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</si>
  <si>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</si>
  <si>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</si>
  <si>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</si>
  <si>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</si>
  <si>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</si>
  <si>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</si>
  <si>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</si>
  <si>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</si>
  <si>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</si>
  <si>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</si>
  <si>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</si>
  <si>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</si>
  <si>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</si>
  <si>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</si>
  <si>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</si>
  <si>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</si>
  <si>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</si>
  <si>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</si>
  <si>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</si>
  <si>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</si>
  <si>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</si>
  <si>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</si>
  <si>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</si>
  <si>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</si>
  <si>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</si>
  <si>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</si>
  <si>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</si>
  <si>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</si>
  <si>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</si>
  <si>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</si>
  <si>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</si>
  <si>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</si>
  <si>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</si>
  <si>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</si>
  <si>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</si>
  <si>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</si>
  <si>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</si>
  <si>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</si>
  <si>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</si>
  <si>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</si>
  <si>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</si>
  <si>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</si>
  <si>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</si>
  <si>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</si>
  <si>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</si>
  <si>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</si>
  <si>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</si>
  <si>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</si>
  <si>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</si>
  <si>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</si>
  <si>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</si>
  <si>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</si>
  <si>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</si>
  <si>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</si>
  <si>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</si>
  <si>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</si>
  <si>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</si>
  <si>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</si>
  <si>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</si>
  <si>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</si>
  <si>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</si>
  <si>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</si>
  <si>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</si>
  <si>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</si>
  <si>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</si>
  <si>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</si>
  <si>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</si>
  <si>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</si>
  <si>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</si>
  <si>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</si>
  <si>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</si>
  <si>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</si>
  <si>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</si>
  <si>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</si>
  <si>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</si>
  <si>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</si>
  <si>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</si>
  <si>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</si>
  <si>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</si>
  <si>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</si>
  <si>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</si>
  <si>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</si>
  <si>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</si>
  <si>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</si>
  <si>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</si>
  <si>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</si>
  <si>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</si>
  <si>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</si>
  <si>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</si>
  <si>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</si>
  <si>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</si>
  <si>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</si>
  <si>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</si>
  <si>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</si>
  <si>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</si>
  <si>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</si>
  <si>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</si>
  <si>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</si>
  <si>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</si>
  <si>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</si>
  <si>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</si>
  <si>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</si>
  <si>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</si>
  <si>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</si>
  <si>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</si>
  <si>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</si>
  <si>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</si>
  <si>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</si>
  <si>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</si>
  <si>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</si>
  <si>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</si>
  <si>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</si>
  <si>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</si>
  <si>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</si>
  <si>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</si>
  <si>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</si>
  <si>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</si>
  <si>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</si>
  <si>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</si>
  <si>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</si>
  <si>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</si>
  <si>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</si>
  <si>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</si>
  <si>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</si>
  <si>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</si>
  <si>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</si>
  <si>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</si>
  <si>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</si>
  <si>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</si>
  <si>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</si>
  <si>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</si>
  <si>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</si>
  <si>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</si>
  <si>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</si>
  <si>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</si>
  <si>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</si>
  <si>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</si>
  <si>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</si>
  <si>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</si>
  <si>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</si>
  <si>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</si>
  <si>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</si>
  <si>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</si>
  <si>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</si>
  <si>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</si>
  <si>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</si>
  <si>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</si>
  <si>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</si>
  <si>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</si>
  <si>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</si>
  <si>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</si>
  <si>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</si>
  <si>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</si>
  <si>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</si>
  <si>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</si>
  <si>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</si>
  <si>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</si>
  <si>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</si>
  <si>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</si>
  <si>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</si>
  <si>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</si>
  <si>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</si>
  <si>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</si>
  <si>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</si>
  <si>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</si>
  <si>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</si>
  <si>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</si>
  <si>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</si>
  <si>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</si>
  <si>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</si>
  <si>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</si>
  <si>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</si>
  <si>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</si>
  <si>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</si>
  <si>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</si>
  <si>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</si>
  <si>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</si>
  <si>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</si>
  <si>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</si>
  <si>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</si>
  <si>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</si>
  <si>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</si>
  <si>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</si>
  <si>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</si>
  <si>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</si>
  <si>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</si>
  <si>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</si>
  <si>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</si>
  <si>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</si>
  <si>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</si>
  <si>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</si>
  <si>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</si>
  <si>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</si>
  <si>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</si>
  <si>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</si>
  <si>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</si>
  <si>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</si>
  <si>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</si>
  <si>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</si>
  <si>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</si>
  <si>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</si>
  <si>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</si>
  <si>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</si>
  <si>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</si>
  <si>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</si>
  <si>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</si>
  <si>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</si>
  <si>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</si>
  <si>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</si>
  <si>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</si>
  <si>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</si>
  <si>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</si>
  <si>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</si>
  <si>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</si>
  <si>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</si>
  <si>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</si>
  <si>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</si>
  <si>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</si>
  <si>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</si>
  <si>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</si>
  <si>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</si>
  <si>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</si>
  <si>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</si>
  <si>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</si>
  <si>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</si>
  <si>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</si>
  <si>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</si>
  <si>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</si>
  <si>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</si>
  <si>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</si>
  <si>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</si>
  <si>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</si>
  <si>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</si>
  <si>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</si>
  <si>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</si>
  <si>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</si>
  <si>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</si>
  <si>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</si>
  <si>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</si>
  <si>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</si>
  <si>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</si>
  <si>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</si>
  <si>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</si>
  <si>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</si>
  <si>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</si>
  <si>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</si>
  <si>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</si>
  <si>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</si>
  <si>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</si>
  <si>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</si>
  <si>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</si>
  <si>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</si>
  <si>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</si>
  <si>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</si>
  <si>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</si>
  <si>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</si>
  <si>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</si>
  <si>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</si>
  <si>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</si>
  <si>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</si>
  <si>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</si>
  <si>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</si>
  <si>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</si>
  <si>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</si>
  <si>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</si>
  <si>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</si>
  <si>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</si>
  <si>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</si>
  <si>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</si>
  <si>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</si>
  <si>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</si>
  <si>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</si>
  <si>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</si>
  <si>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</si>
  <si>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</si>
  <si>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</si>
  <si>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</si>
  <si>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</si>
  <si>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</si>
  <si>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</si>
  <si>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</si>
  <si>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</si>
  <si>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</si>
  <si>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</si>
  <si>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</si>
  <si>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</si>
  <si>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</si>
  <si>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</si>
  <si>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</si>
  <si>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</si>
  <si>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</si>
  <si>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</si>
  <si>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</si>
  <si>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</si>
  <si>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</si>
  <si>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</si>
  <si>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</si>
  <si>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</si>
  <si>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</si>
  <si>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</si>
  <si>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</si>
  <si>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</si>
  <si>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</si>
  <si>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</si>
  <si>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</si>
  <si>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</si>
  <si>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</si>
  <si>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</si>
  <si>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</si>
  <si>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</si>
  <si>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</si>
  <si>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</si>
  <si>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</si>
  <si>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</si>
  <si>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</si>
  <si>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</si>
  <si>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</si>
  <si>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</si>
  <si>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</si>
  <si>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</si>
  <si>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</si>
  <si>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</si>
  <si>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</si>
  <si>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</si>
  <si>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</si>
  <si>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</si>
  <si>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</si>
  <si>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</si>
  <si>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</si>
  <si>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</si>
  <si>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</si>
  <si>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</si>
  <si>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</si>
  <si>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</si>
  <si>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</si>
  <si>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</si>
  <si>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</si>
  <si>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</si>
  <si>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</si>
  <si>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</si>
  <si>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</si>
  <si>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</si>
  <si>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</si>
  <si>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</si>
  <si>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</si>
  <si>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</si>
  <si>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</si>
  <si>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</si>
  <si>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</si>
  <si>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</si>
  <si>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</si>
  <si>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</si>
  <si>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</si>
  <si>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</si>
  <si>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</si>
  <si>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</si>
  <si>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</si>
  <si>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</si>
  <si>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</si>
  <si>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</si>
  <si>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</si>
  <si>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</si>
  <si>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</si>
  <si>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</si>
  <si>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</si>
  <si>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</si>
  <si>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</si>
  <si>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</si>
  <si>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</si>
  <si>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</si>
  <si>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</si>
  <si>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</si>
  <si>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</si>
  <si>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</si>
  <si>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</si>
  <si>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</si>
  <si>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</si>
  <si>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</si>
  <si>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</si>
  <si>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</si>
  <si>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</si>
  <si>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</si>
  <si>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</si>
  <si>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</si>
  <si>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</si>
  <si>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</si>
  <si>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</si>
  <si>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</si>
  <si>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</si>
  <si>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</si>
  <si>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</si>
  <si>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</si>
  <si>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</si>
  <si>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</si>
  <si>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</si>
  <si>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</si>
  <si>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</si>
  <si>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</si>
  <si>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</si>
  <si>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</si>
  <si>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</si>
  <si>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</si>
  <si>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</si>
  <si>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</si>
  <si>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</si>
  <si>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</si>
  <si>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</si>
  <si>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</si>
  <si>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</si>
  <si>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</si>
  <si>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</si>
  <si>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</si>
  <si>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</si>
  <si>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</si>
  <si>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</si>
  <si>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</si>
  <si>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</si>
  <si>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</si>
  <si>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</si>
  <si>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</si>
  <si>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</si>
  <si>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</si>
  <si>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</si>
  <si>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</si>
  <si>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</si>
  <si>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</si>
  <si>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</si>
  <si>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</si>
  <si>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</si>
  <si>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</si>
  <si>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</si>
  <si>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</si>
  <si>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</si>
  <si>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</si>
  <si>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</si>
  <si>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</si>
  <si>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</si>
  <si>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</si>
  <si>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</si>
  <si>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</si>
  <si>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</si>
  <si>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</si>
  <si>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</si>
  <si>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</si>
  <si>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</si>
  <si>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</si>
  <si>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</si>
  <si>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</si>
  <si>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</si>
  <si>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</si>
  <si>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</si>
  <si>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</si>
  <si>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</si>
  <si>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</si>
  <si>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</si>
  <si>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</si>
  <si>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</si>
  <si>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</si>
  <si>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</si>
  <si>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</si>
  <si>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</si>
  <si>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</si>
  <si>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</si>
  <si>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</si>
  <si>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</si>
  <si>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</si>
  <si>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</si>
  <si>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</si>
  <si>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</si>
  <si>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</si>
  <si>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</si>
  <si>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</si>
  <si>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</si>
  <si>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</si>
  <si>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</si>
  <si>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</si>
  <si>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</si>
  <si>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</si>
  <si>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</si>
  <si>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</si>
  <si>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</si>
  <si>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</si>
  <si>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</si>
  <si>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</si>
  <si>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</si>
  <si>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</si>
  <si>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</si>
  <si>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</si>
  <si>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</si>
  <si>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</si>
  <si>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</si>
  <si>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</si>
  <si>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</si>
  <si>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</si>
  <si>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</si>
  <si>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</si>
  <si>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</si>
  <si>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</si>
  <si>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</si>
  <si>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</si>
  <si>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</si>
  <si>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</si>
  <si>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</si>
  <si>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</si>
  <si>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</si>
  <si>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</si>
  <si>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</si>
  <si>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</si>
  <si>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</si>
  <si>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</si>
  <si>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</si>
  <si>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</si>
  <si>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</si>
  <si>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</si>
  <si>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</si>
  <si>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</si>
  <si>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</si>
  <si>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</si>
  <si>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</si>
  <si>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</si>
  <si>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</si>
  <si>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</si>
  <si>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</si>
  <si>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</si>
  <si>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</si>
  <si>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</si>
  <si>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</si>
  <si>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</si>
  <si>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</si>
  <si>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</si>
  <si>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</si>
  <si>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</si>
  <si>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</si>
  <si>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</si>
  <si>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</si>
  <si>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</si>
  <si>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</si>
  <si>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</si>
  <si>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</si>
  <si>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</si>
  <si>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</si>
  <si>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</si>
  <si>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</si>
  <si>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</si>
  <si>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</si>
  <si>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</si>
  <si>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</si>
  <si>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</si>
  <si>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</si>
  <si>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</si>
  <si>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</si>
  <si>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</si>
  <si>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</si>
  <si>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</si>
  <si>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</si>
  <si>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</si>
  <si>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</si>
  <si>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</si>
  <si>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</si>
  <si>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</si>
  <si>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</si>
  <si>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</si>
  <si>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</si>
  <si>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</si>
  <si>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</si>
  <si>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</si>
  <si>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</si>
  <si>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</si>
  <si>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</si>
  <si>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</si>
  <si>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</si>
  <si>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</si>
  <si>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</si>
  <si>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</si>
  <si>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</si>
  <si>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</si>
  <si>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</si>
  <si>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</si>
  <si>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</si>
  <si>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</si>
  <si>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</si>
  <si>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</si>
  <si>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</si>
  <si>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</si>
  <si>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</si>
  <si>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</si>
  <si>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</si>
  <si>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</si>
  <si>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</si>
  <si>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</si>
  <si>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</si>
  <si>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</si>
  <si>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</si>
  <si>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</si>
  <si>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</si>
  <si>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</si>
  <si>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</si>
  <si>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</si>
  <si>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</si>
  <si>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</si>
  <si>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</si>
  <si>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</si>
  <si>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</si>
  <si>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</si>
  <si>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</si>
  <si>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</si>
  <si>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</si>
  <si>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</si>
  <si>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</si>
  <si>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</si>
  <si>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</si>
  <si>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</si>
  <si>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</si>
  <si>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</si>
  <si>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</si>
  <si>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</si>
  <si>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</si>
  <si>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</si>
  <si>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</si>
  <si>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</si>
  <si>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</si>
  <si>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</si>
  <si>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</si>
  <si>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</si>
  <si>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</si>
  <si>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</si>
  <si>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</si>
  <si>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</si>
  <si>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</si>
  <si>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</si>
  <si>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</si>
  <si>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</si>
  <si>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</si>
  <si>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</si>
  <si>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</si>
  <si>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</si>
  <si>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</si>
  <si>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</si>
  <si>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</si>
  <si>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</si>
  <si>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</si>
  <si>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</si>
  <si>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</si>
  <si>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</si>
  <si>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</si>
  <si>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</si>
  <si>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</si>
  <si>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</si>
  <si>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</si>
  <si>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</si>
  <si>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</si>
  <si>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</si>
  <si>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</si>
  <si>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</si>
  <si>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</si>
  <si>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</si>
  <si>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</si>
  <si>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</si>
  <si>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</si>
  <si>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</si>
  <si>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</si>
  <si>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</si>
  <si>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</si>
  <si>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</si>
  <si>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</si>
  <si>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</si>
  <si>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</si>
  <si>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</si>
  <si>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</si>
  <si>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</si>
  <si>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</si>
  <si>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</si>
  <si>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</si>
  <si>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</si>
  <si>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</si>
  <si>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</si>
  <si>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</si>
  <si>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</si>
  <si>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</si>
  <si>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</si>
  <si>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</si>
  <si>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</si>
  <si>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</si>
  <si>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</si>
  <si>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</si>
  <si>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</si>
  <si>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</si>
  <si>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</si>
  <si>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</si>
  <si>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</si>
  <si>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</si>
  <si>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</si>
  <si>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</si>
  <si>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</si>
  <si>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</si>
  <si>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</si>
  <si>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</si>
  <si>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</si>
  <si>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</si>
  <si>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</si>
  <si>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</si>
  <si>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</si>
  <si>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</si>
  <si>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</si>
  <si>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</si>
  <si>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</si>
  <si>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</si>
  <si>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</si>
  <si>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</si>
  <si>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</si>
  <si>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</si>
  <si>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</si>
  <si>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</si>
  <si>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</si>
  <si>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</si>
  <si>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</si>
  <si>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</si>
  <si>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</si>
  <si>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</si>
  <si>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</si>
  <si>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</si>
  <si>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</si>
  <si>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</si>
  <si>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</si>
  <si>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</si>
  <si>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</si>
  <si>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</si>
  <si>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</si>
  <si>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</si>
  <si>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</si>
  <si>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</si>
  <si>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</si>
  <si>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</si>
  <si>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</si>
  <si>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</si>
  <si>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</si>
  <si>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</si>
  <si>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</si>
  <si>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</si>
  <si>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</si>
  <si>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</si>
  <si>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</si>
  <si>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</si>
  <si>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</si>
  <si>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</si>
  <si>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</si>
  <si>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</si>
  <si>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</si>
  <si>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</si>
  <si>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</si>
  <si>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</si>
  <si>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</si>
  <si>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</si>
  <si>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</si>
  <si>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</si>
  <si>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</si>
  <si>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</si>
  <si>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</si>
  <si>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</si>
  <si>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</si>
  <si>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101</t>
  </si>
  <si>
    <t>102</t>
  </si>
  <si>
    <t>103</t>
  </si>
  <si>
    <t>104</t>
  </si>
  <si>
    <t>105</t>
  </si>
  <si>
    <t>106</t>
  </si>
  <si>
    <t>107</t>
  </si>
  <si>
    <t>108</t>
  </si>
  <si>
    <t>109</t>
  </si>
  <si>
    <t>110</t>
  </si>
  <si>
    <t>111</t>
  </si>
  <si>
    <t>112</t>
  </si>
  <si>
    <t>113</t>
  </si>
  <si>
    <t>114</t>
  </si>
  <si>
    <t>115</t>
  </si>
  <si>
    <t>116</t>
  </si>
  <si>
    <t>117</t>
  </si>
  <si>
    <t>118</t>
  </si>
  <si>
    <t>201</t>
  </si>
  <si>
    <t>202</t>
  </si>
  <si>
    <t>203</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</si>
  <si>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</si>
  <si>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</si>
  <si>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</si>
  <si>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</si>
  <si>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</si>
  <si>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</si>
  <si>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</si>
  <si>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</si>
  <si>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</si>
  <si>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</si>
  <si>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</si>
  <si>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</si>
  <si>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</si>
  <si>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</si>
  <si>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</si>
  <si>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</si>
  <si>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</si>
  <si>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</si>
  <si>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</si>
  <si>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</si>
  <si>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</si>
  <si>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</si>
  <si>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</si>
  <si>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</si>
  <si>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</si>
  <si>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</si>
  <si>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</si>
  <si>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</si>
  <si>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</si>
  <si>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</si>
  <si>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</si>
  <si>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</si>
  <si>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</si>
  <si>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</si>
  <si>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</si>
  <si>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</si>
  <si>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</si>
  <si>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</si>
  <si>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</si>
  <si>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</si>
  <si>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</si>
  <si>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</si>
  <si>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</si>
  <si>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</si>
  <si>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</si>
  <si>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</si>
  <si>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</si>
  <si>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</si>
  <si>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</si>
  <si>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</si>
  <si>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</si>
  <si>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</si>
  <si>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</si>
  <si>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</si>
  <si>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</si>
  <si>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</si>
  <si>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</si>
  <si>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</si>
  <si>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</si>
  <si>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</si>
  <si>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</si>
  <si>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</si>
  <si>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</si>
  <si>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</si>
  <si>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</si>
  <si>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</si>
  <si>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</si>
  <si>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</si>
  <si>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</si>
  <si>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</si>
  <si>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</si>
  <si>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</si>
  <si>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</si>
  <si>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</si>
  <si>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</si>
  <si>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</si>
  <si>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</si>
  <si>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</si>
  <si>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</si>
  <si>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</si>
  <si>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</si>
  <si>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</si>
  <si>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</si>
  <si>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</si>
  <si>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</si>
  <si>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</si>
  <si>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</si>
  <si>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</si>
  <si>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</si>
  <si>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</si>
  <si>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</si>
  <si>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</si>
  <si>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</si>
  <si>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</si>
  <si>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</si>
  <si>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</si>
  <si>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</si>
  <si>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</si>
  <si>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</si>
  <si>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</si>
  <si>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</si>
  <si>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</si>
  <si>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</si>
  <si>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</si>
  <si>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</si>
  <si>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</si>
  <si>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</si>
  <si>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</si>
  <si>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</si>
  <si>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</si>
  <si>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</si>
  <si>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</si>
  <si>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</si>
  <si>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</si>
  <si>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</si>
  <si>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</si>
  <si>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</si>
  <si>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</si>
  <si>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</si>
  <si>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</si>
  <si>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</si>
  <si>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</si>
  <si>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</si>
  <si>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</si>
  <si>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</si>
  <si>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</si>
  <si>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</si>
  <si>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</si>
  <si>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</si>
  <si>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</si>
  <si>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</si>
  <si>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</si>
  <si>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</si>
  <si>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</si>
  <si>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</si>
  <si>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</si>
  <si>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</si>
  <si>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</si>
  <si>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</si>
  <si>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</si>
  <si>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</si>
  <si>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</si>
  <si>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</si>
  <si>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</si>
  <si>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</si>
  <si>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</si>
  <si>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</si>
  <si>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</si>
  <si>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</si>
  <si>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</si>
  <si>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</si>
  <si>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</si>
  <si>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</si>
  <si>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</si>
  <si>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</si>
  <si>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</si>
  <si>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</si>
  <si>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</si>
  <si>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</si>
  <si>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</si>
  <si>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</si>
  <si>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</si>
  <si>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</si>
  <si>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</si>
  <si>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</si>
  <si>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</si>
  <si>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</si>
  <si>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</si>
  <si>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</si>
  <si>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</si>
  <si>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</si>
  <si>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</si>
  <si>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</si>
  <si>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</si>
  <si>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</si>
  <si>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</si>
  <si>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</si>
  <si>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</si>
  <si>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</si>
  <si>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</si>
  <si>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</si>
  <si>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</si>
  <si>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</si>
  <si>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</si>
  <si>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</si>
  <si>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</si>
  <si>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</si>
  <si>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</si>
  <si>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</si>
  <si>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</si>
  <si>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</si>
  <si>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</si>
  <si>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</si>
  <si>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</si>
  <si>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</si>
  <si>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</si>
  <si>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</si>
  <si>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</si>
  <si>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</si>
  <si>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</si>
  <si>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</si>
  <si>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</si>
  <si>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</si>
  <si>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</si>
  <si>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</si>
  <si>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r>
      <t>3</t>
    </r>
    <r>
      <rPr>
        <sz val="10"/>
        <color indexed="8"/>
        <rFont val="宋体"/>
        <family val="3"/>
        <charset val="134"/>
      </rPr>
      <t>号楼</t>
    </r>
    <phoneticPr fontId="3" type="noConversion"/>
  </si>
  <si>
    <t>否</t>
  </si>
  <si>
    <r>
      <rPr>
        <sz val="10"/>
        <color indexed="8"/>
        <rFont val="宋体"/>
        <family val="3"/>
        <charset val="134"/>
      </rPr>
      <t>人防是否参与分摊</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</si>
  <si>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</si>
  <si>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t>7</t>
    </r>
    <r>
      <rPr>
        <sz val="11"/>
        <color indexed="8"/>
        <rFont val="宋体"/>
        <family val="3"/>
        <charset val="134"/>
      </rPr>
      <t>号楼</t>
    </r>
    <phoneticPr fontId="3" type="noConversion"/>
  </si>
  <si>
    <t>是</t>
  </si>
  <si>
    <t>成新度</t>
  </si>
  <si>
    <t>按租金收入计税</t>
  </si>
  <si>
    <t>钢混</t>
  </si>
  <si>
    <t>非生产用房</t>
  </si>
  <si>
    <t>正常</t>
  </si>
  <si>
    <t>较差</t>
  </si>
  <si>
    <t>一般</t>
  </si>
  <si>
    <t>六通</t>
  </si>
  <si>
    <t>单面临街</t>
  </si>
  <si>
    <t>次干道</t>
  </si>
  <si>
    <t>三通</t>
  </si>
  <si>
    <t>单位面积地价</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</si>
  <si>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</si>
  <si>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</si>
  <si>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</si>
  <si>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</si>
  <si>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</si>
  <si>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</si>
  <si>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</si>
  <si>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</si>
  <si>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</si>
  <si>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</si>
  <si>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</si>
  <si>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</si>
  <si>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</si>
  <si>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</si>
  <si>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</si>
  <si>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</si>
  <si>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</si>
  <si>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</si>
  <si>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</si>
  <si>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</si>
  <si>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</si>
  <si>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</si>
  <si>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</si>
  <si>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</si>
  <si>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</si>
  <si>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</si>
  <si>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</si>
  <si>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</si>
  <si>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</si>
  <si>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</si>
  <si>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</si>
  <si>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</si>
  <si>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</si>
  <si>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</si>
  <si>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</si>
  <si>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</si>
  <si>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</si>
  <si>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</si>
  <si>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</si>
  <si>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</si>
  <si>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</si>
  <si>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</si>
  <si>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</si>
  <si>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</si>
  <si>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</si>
  <si>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</si>
  <si>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</si>
  <si>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</si>
  <si>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估价对象名称</t>
  </si>
  <si>
    <t>项目位置</t>
  </si>
  <si>
    <t>商业</t>
    <phoneticPr fontId="31" type="noConversion"/>
  </si>
  <si>
    <t>梅山保税港区37-4号地块</t>
    <phoneticPr fontId="143" type="noConversion"/>
  </si>
  <si>
    <t>较好</t>
  </si>
  <si>
    <t>主干道</t>
    <phoneticPr fontId="31" type="noConversion"/>
  </si>
  <si>
    <t>次干道</t>
    <phoneticPr fontId="31" type="noConversion"/>
  </si>
  <si>
    <t>六通</t>
    <phoneticPr fontId="31" type="noConversion"/>
  </si>
  <si>
    <t>三通</t>
    <phoneticPr fontId="31" type="noConversion"/>
  </si>
  <si>
    <t>五通</t>
    <phoneticPr fontId="31" type="noConversion"/>
  </si>
  <si>
    <t>四通</t>
    <phoneticPr fontId="31" type="noConversion"/>
  </si>
  <si>
    <t>现房</t>
  </si>
  <si>
    <t>成本法</t>
  </si>
  <si>
    <r>
      <rPr>
        <sz val="11"/>
        <color theme="9" tint="-0.249977111117893"/>
        <rFont val="宋体"/>
        <family val="3"/>
        <charset val="134"/>
      </rPr>
      <t>梅山保税港区</t>
    </r>
    <r>
      <rPr>
        <sz val="11"/>
        <color theme="9" tint="-0.249977111117893"/>
        <rFont val="Arial"/>
        <family val="2"/>
      </rPr>
      <t>37-5</t>
    </r>
    <r>
      <rPr>
        <sz val="11"/>
        <color theme="9" tint="-0.249977111117893"/>
        <rFont val="宋体"/>
        <family val="3"/>
        <charset val="134"/>
      </rPr>
      <t>号地块</t>
    </r>
    <phoneticPr fontId="31" type="noConversion"/>
  </si>
  <si>
    <t>规则</t>
  </si>
  <si>
    <t>规则</t>
    <phoneticPr fontId="31" type="noConversion"/>
  </si>
  <si>
    <t>不规则</t>
    <phoneticPr fontId="31" type="noConversion"/>
  </si>
  <si>
    <t>押一</t>
  </si>
  <si>
    <t>成本比率</t>
  </si>
  <si>
    <t>建筑物价值</t>
  </si>
  <si>
    <t>收益法-7</t>
  </si>
  <si>
    <t>收益法-3</t>
  </si>
  <si>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</si>
  <si>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</si>
  <si>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</si>
  <si>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</si>
  <si>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</si>
  <si>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</si>
  <si>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</si>
  <si>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</si>
  <si>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</si>
  <si>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</si>
  <si>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</si>
  <si>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</si>
  <si>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</si>
  <si>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</si>
  <si>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</si>
  <si>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</si>
  <si>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</si>
  <si>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</si>
  <si>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</si>
  <si>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</si>
  <si>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 xml:space="preserve"> 2、地上建筑面积86619.97平方米，包括酒店用房53602.37平方米（798套）、商业31128.18平方米（6套）、办公886.85平方米（1套）、公建配套1002.57平方米。  </t>
  </si>
  <si>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</si>
  <si>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</si>
  <si>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</si>
  <si>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</si>
  <si>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</si>
  <si>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</si>
  <si>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</si>
  <si>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</si>
  <si>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</si>
  <si>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</si>
  <si>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</si>
  <si>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</si>
  <si>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</si>
  <si>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</si>
  <si>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</si>
  <si>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</si>
  <si>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土地面积</t>
    <phoneticPr fontId="143" type="noConversion"/>
  </si>
  <si>
    <t>土地单价</t>
    <phoneticPr fontId="143" type="noConversion"/>
  </si>
  <si>
    <t>总价</t>
    <phoneticPr fontId="143" type="noConversion"/>
  </si>
  <si>
    <t>成本法 (2)</t>
  </si>
  <si>
    <t>成本法 (3)</t>
  </si>
  <si>
    <t>规划建筑面积（㎡）</t>
  </si>
  <si>
    <t>地上规划建筑面积</t>
  </si>
  <si>
    <t>地下规划建筑面积</t>
  </si>
  <si>
    <t>坐落</t>
    <phoneticPr fontId="143" type="noConversion"/>
  </si>
  <si>
    <t>分摊土地面积</t>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</si>
  <si>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3</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</si>
  <si>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6</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</si>
  <si>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7</t>
    </r>
    <r>
      <rPr>
        <sz val="10"/>
        <color rgb="FF000000"/>
        <rFont val="宋体"/>
        <family val="3"/>
        <charset val="134"/>
      </rPr>
      <t>幢</t>
    </r>
    <phoneticPr fontId="143" type="noConversion"/>
  </si>
  <si>
    <t>收益法（汇总）</t>
  </si>
  <si>
    <t>序号</t>
    <phoneticPr fontId="143" type="noConversion"/>
  </si>
  <si>
    <t>位置</t>
    <phoneticPr fontId="143" type="noConversion"/>
  </si>
  <si>
    <t>房号</t>
    <phoneticPr fontId="143" type="noConversion"/>
  </si>
  <si>
    <t>房地产抵押价值</t>
    <phoneticPr fontId="143" type="noConversion"/>
  </si>
  <si>
    <t>楼面单价</t>
    <phoneticPr fontId="143" type="noConversion"/>
  </si>
  <si>
    <t>建筑面积</t>
    <phoneticPr fontId="143" type="noConversion"/>
  </si>
  <si>
    <t>分摊土地</t>
    <phoneticPr fontId="143"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</si>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</sst>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sz val="10"/>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5" borderId="2"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79" fontId="51" fillId="6" borderId="0"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0" fontId="50" fillId="6" borderId="58"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0" xfId="0" applyFont="1" applyFill="1" applyAlignment="1" applyProtection="1">
      <alignment horizontal="left" vertical="center" wrapText="1"/>
    </xf>
    <xf numFmtId="0" fontId="50" fillId="0" borderId="2" xfId="0" applyFont="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xf>
    <xf numFmtId="0" fontId="51" fillId="0" borderId="0" xfId="0" applyFont="1" applyAlignment="1" applyProtection="1">
      <alignment horizontal="left" vertical="center"/>
    </xf>
    <xf numFmtId="0" fontId="50" fillId="0" borderId="0" xfId="0" applyFont="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10" applyAlignment="1">
      <alignment horizontal="center" vertical="center" wrapText="1"/>
    </xf>
    <xf numFmtId="0" fontId="99" fillId="0" borderId="0" xfId="10" applyFont="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17" borderId="0" xfId="10" applyFill="1" applyAlignment="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15" xfId="10" applyNumberFormat="1" applyFont="1" applyFill="1" applyBorder="1" applyAlignment="1">
      <alignment horizontal="center" vertical="center" wrapText="1"/>
    </xf>
    <xf numFmtId="0" fontId="99" fillId="0" borderId="0" xfId="10" applyFont="1">
      <alignment vertical="center"/>
    </xf>
    <xf numFmtId="0" fontId="99" fillId="9" borderId="1" xfId="10" applyNumberFormat="1" applyFill="1" applyBorder="1" applyAlignment="1">
      <alignment horizontal="center" vertical="center" wrapText="1"/>
    </xf>
    <xf numFmtId="2" fontId="99" fillId="9" borderId="1" xfId="10" applyNumberFormat="1" applyFill="1" applyBorder="1" applyAlignment="1">
      <alignment horizontal="center" vertical="center" wrapText="1"/>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0" fontId="99" fillId="9" borderId="0" xfId="10" applyFill="1">
      <alignment vertical="center"/>
    </xf>
    <xf numFmtId="179" fontId="99" fillId="0" borderId="0" xfId="10" applyNumberFormat="1">
      <alignment vertical="center"/>
    </xf>
    <xf numFmtId="0" fontId="99" fillId="0" borderId="1" xfId="10" applyBorder="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Border="1" applyAlignment="1">
      <alignment horizontal="center" vertical="center"/>
    </xf>
    <xf numFmtId="0" fontId="254" fillId="0" borderId="43" xfId="0" applyFont="1" applyBorder="1" applyAlignment="1">
      <alignment horizontal="center" vertical="center"/>
    </xf>
    <xf numFmtId="0" fontId="175"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175" fillId="0" borderId="43"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82" xfId="0"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2" fontId="99" fillId="0" borderId="0" xfId="10" applyNumberForma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4" xfId="0" applyFont="1" applyBorder="1" applyAlignment="1">
      <alignment horizontal="center" vertical="center"/>
    </xf>
    <xf numFmtId="0" fontId="254" fillId="0" borderId="65" xfId="0" applyFont="1" applyBorder="1" applyAlignment="1">
      <alignment horizontal="center" vertical="center"/>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xf numFmtId="10" fontId="50" fillId="9" borderId="1" xfId="1" applyNumberFormat="1" applyFont="1" applyFill="1" applyBorder="1" applyAlignment="1" applyProtection="1">
      <alignment horizontal="center" vertical="center"/>
      <protection locked="0"/>
    </xf>
    <xf numFmtId="0" fontId="99" fillId="5" borderId="1" xfId="10" applyNumberFormat="1" applyFont="1" applyFill="1" applyBorder="1" applyAlignment="1">
      <alignment horizontal="center" vertical="center" wrapText="1"/>
    </xf>
    <xf numFmtId="0" fontId="99" fillId="0" borderId="0" xfId="0" applyFont="1">
      <alignment vertical="center"/>
    </xf>
    <xf numFmtId="0" fontId="99" fillId="18" borderId="1" xfId="10" applyFill="1" applyBorder="1" applyAlignment="1">
      <alignment horizontal="center" vertical="center"/>
    </xf>
    <xf numFmtId="0" fontId="54" fillId="18" borderId="6" xfId="0" applyNumberFormat="1" applyFont="1" applyFill="1" applyBorder="1" applyAlignment="1" applyProtection="1">
      <alignment horizontal="center" vertical="center" wrapText="1"/>
      <protection locked="0"/>
    </xf>
    <xf numFmtId="0" fontId="57" fillId="18" borderId="24" xfId="1" applyFont="1" applyFill="1" applyBorder="1" applyAlignment="1" applyProtection="1">
      <alignment horizontal="left" vertical="center"/>
      <protection locked="0"/>
    </xf>
    <xf numFmtId="0" fontId="171" fillId="18" borderId="13" xfId="12" applyFont="1" applyFill="1" applyBorder="1" applyAlignment="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row r="3">
          <cell r="F3">
            <v>25862.45</v>
          </cell>
        </row>
        <row r="7">
          <cell r="F7">
            <v>14485.24</v>
          </cell>
        </row>
      </sheetData>
      <sheetData sheetId="13" refreshError="1">
        <row r="229">
          <cell r="L229">
            <v>1468.71</v>
          </cell>
        </row>
      </sheetData>
      <sheetData sheetId="14" refreshError="1">
        <row r="127">
          <cell r="L127">
            <v>967.69</v>
          </cell>
        </row>
      </sheetData>
      <sheetData sheetId="15" refreshError="1">
        <row r="91">
          <cell r="D91">
            <v>52</v>
          </cell>
          <cell r="J91">
            <v>6.58</v>
          </cell>
        </row>
        <row r="92">
          <cell r="J92">
            <v>10.47</v>
          </cell>
        </row>
        <row r="93">
          <cell r="J93">
            <v>10.47</v>
          </cell>
        </row>
        <row r="94">
          <cell r="J94">
            <v>6.58</v>
          </cell>
        </row>
        <row r="127">
          <cell r="L127">
            <v>963.7</v>
          </cell>
        </row>
      </sheetData>
      <sheetData sheetId="16" refreshError="1">
        <row r="207">
          <cell r="I207">
            <v>2719.64</v>
          </cell>
        </row>
      </sheetData>
      <sheetData sheetId="17" refreshError="1"/>
      <sheetData sheetId="18" refreshError="1">
        <row r="17">
          <cell r="C17" t="str">
            <v>项目类型</v>
          </cell>
        </row>
        <row r="19">
          <cell r="C19" t="str">
            <v>公寓用房</v>
          </cell>
        </row>
        <row r="20">
          <cell r="C20" t="str">
            <v>地下车库</v>
          </cell>
        </row>
      </sheetData>
      <sheetData sheetId="19"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refreshError="1"/>
      <sheetData sheetId="21" refreshError="1">
        <row r="5">
          <cell r="B5">
            <v>28339</v>
          </cell>
        </row>
      </sheetData>
      <sheetData sheetId="22" refreshError="1"/>
      <sheetData sheetId="23" refreshError="1"/>
      <sheetData sheetId="24" refreshError="1"/>
      <sheetData sheetId="25" refreshError="1"/>
      <sheetData sheetId="26" refreshError="1"/>
      <sheetData sheetId="27" refreshError="1"/>
      <sheetData sheetId="28"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efreshError="1">
        <row r="73">
          <cell r="A73" t="str">
            <v>交易情况</v>
          </cell>
          <cell r="C73" t="str">
            <v>正常</v>
          </cell>
        </row>
        <row r="75">
          <cell r="B75" t="str">
            <v>用途</v>
          </cell>
          <cell r="C75" t="str">
            <v>商业、办公</v>
          </cell>
          <cell r="D75" t="str">
            <v>旅游</v>
          </cell>
        </row>
        <row r="106">
          <cell r="B106" t="str">
            <v>毗邻道路的类型与等级</v>
          </cell>
          <cell r="C106" t="str">
            <v>快速</v>
          </cell>
          <cell r="D106" t="str">
            <v>主干道</v>
          </cell>
          <cell r="E106" t="str">
            <v>次干道</v>
          </cell>
          <cell r="F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六通</v>
          </cell>
          <cell r="D123" t="str">
            <v>五通</v>
          </cell>
          <cell r="E123" t="str">
            <v>四通</v>
          </cell>
          <cell r="F123" t="str">
            <v>三通</v>
          </cell>
        </row>
        <row r="125">
          <cell r="B125" t="str">
            <v>工程地质条件</v>
          </cell>
          <cell r="C125" t="str">
            <v>良好</v>
          </cell>
          <cell r="D125" t="str">
            <v>一般</v>
          </cell>
          <cell r="E125" t="str">
            <v>较差</v>
          </cell>
        </row>
      </sheetData>
      <sheetData sheetId="34" refreshError="1"/>
      <sheetData sheetId="35" refreshError="1"/>
      <sheetData sheetId="36" refreshError="1"/>
      <sheetData sheetId="37"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refreshError="1"/>
      <sheetData sheetId="39"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refreshError="1"/>
      <sheetData sheetId="41" refreshError="1"/>
      <sheetData sheetId="42" refreshError="1"/>
      <sheetData sheetId="43" refreshError="1">
        <row r="51">
          <cell r="A51" t="str">
            <v>交易情况</v>
          </cell>
          <cell r="C51" t="str">
            <v>正常</v>
          </cell>
        </row>
        <row r="53">
          <cell r="B53" t="str">
            <v>用途</v>
          </cell>
          <cell r="C53" t="str">
            <v>地下车库</v>
          </cell>
        </row>
        <row r="71">
          <cell r="B71" t="str">
            <v>楼层</v>
          </cell>
        </row>
        <row r="79">
          <cell r="B79" t="str">
            <v>配套类型（地上主用途）</v>
          </cell>
          <cell r="C79" t="str">
            <v>商业</v>
          </cell>
          <cell r="D79" t="str">
            <v>普通商品房</v>
          </cell>
          <cell r="E79" t="str">
            <v>保障房</v>
          </cell>
        </row>
        <row r="83">
          <cell r="B83" t="str">
            <v>公共部分装修</v>
          </cell>
          <cell r="C83" t="str">
            <v>精装</v>
          </cell>
          <cell r="D83" t="str">
            <v>普装</v>
          </cell>
          <cell r="E83" t="str">
            <v>简装</v>
          </cell>
          <cell r="F83" t="str">
            <v>毛坯</v>
          </cell>
        </row>
        <row r="88">
          <cell r="B88" t="str">
            <v>物业等级</v>
          </cell>
        </row>
        <row r="93">
          <cell r="B93" t="str">
            <v>车位类型</v>
          </cell>
          <cell r="C93" t="str">
            <v>立体</v>
          </cell>
          <cell r="D93" t="str">
            <v>平面</v>
          </cell>
        </row>
        <row r="95">
          <cell r="B95" t="str">
            <v>是否直接入户</v>
          </cell>
          <cell r="C95" t="str">
            <v>是</v>
          </cell>
          <cell r="D95" t="str">
            <v>否</v>
          </cell>
        </row>
      </sheetData>
      <sheetData sheetId="44" refreshError="1"/>
      <sheetData sheetId="45" refreshError="1"/>
      <sheetData sheetId="46"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7397.6099999999988</v>
          </cell>
        </row>
        <row r="2">
          <cell r="B2">
            <v>14160.27</v>
          </cell>
        </row>
        <row r="5">
          <cell r="B5">
            <v>7035</v>
          </cell>
        </row>
        <row r="6">
          <cell r="B6">
            <v>7035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估价对象为房地产，为所有。根据《国有土地使用证》[]，估价对象（分摊）出让国有建设用地使用权面积为40347.69平方米，建筑面积为20447.54平方米。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估价对象为房地产,属开发建设的，该项目尚在开发建设中。根据《国有土地使用证》[]，估价对象（分摊）出让国有建设用地使用权面积为40347.69平方米，规划建筑面积为20447.54平方米。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18706</v>
      </c>
    </row>
    <row r="21" spans="1:2" s="1596" customFormat="1">
      <c r="A21" s="1594" t="s">
        <v>1231</v>
      </c>
      <c r="B21" s="1595">
        <f ca="1">'预评函-2'!D7</f>
        <v>9148</v>
      </c>
    </row>
    <row r="22" spans="1:2" s="1596" customFormat="1">
      <c r="A22" s="1594" t="s">
        <v>1232</v>
      </c>
      <c r="B22" s="1595" t="str">
        <f ca="1">'预评函-2'!D6</f>
        <v>壹亿捌仟柒佰零陆万元整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18706</v>
      </c>
    </row>
    <row r="31" spans="1:2" s="1596" customFormat="1">
      <c r="A31" s="1594" t="s">
        <v>1270</v>
      </c>
      <c r="B31" s="1595">
        <f ca="1">'预评函-2'!D15</f>
        <v>9148</v>
      </c>
    </row>
    <row r="32" spans="1:2" s="1596" customFormat="1">
      <c r="A32" s="1594" t="s">
        <v>1237</v>
      </c>
      <c r="B32" s="1595" t="str">
        <f ca="1">'预评函-2'!D14</f>
        <v>壹亿捌仟柒佰零陆万元整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20447.539999999961</v>
      </c>
    </row>
    <row r="44" spans="1:2" s="1596" customFormat="1">
      <c r="A44" s="1594" t="s">
        <v>1269</v>
      </c>
      <c r="B44" s="1595" t="str">
        <f>'预评函-3'!C2</f>
        <v>(分摊)土地面积</v>
      </c>
    </row>
    <row r="45" spans="1:2" s="1596" customFormat="1">
      <c r="A45" s="1594" t="s">
        <v>1241</v>
      </c>
      <c r="B45" s="1595">
        <f>'预评函-3'!C4</f>
        <v>40347.69</v>
      </c>
    </row>
    <row r="46" spans="1:2" s="1596" customFormat="1">
      <c r="A46" s="1594" t="s">
        <v>1267</v>
      </c>
      <c r="B46" s="1595" t="str">
        <f>'预评函-3'!D2</f>
        <v>出让国有建设用地使用权价值</v>
      </c>
    </row>
    <row r="47" spans="1:2" s="1596" customFormat="1">
      <c r="A47" s="1594" t="s">
        <v>1242</v>
      </c>
      <c r="B47" s="1595">
        <f ca="1">'预评函-3'!D4</f>
        <v>10494</v>
      </c>
    </row>
    <row r="48" spans="1:2" s="1596" customFormat="1">
      <c r="A48" s="1594" t="s">
        <v>1243</v>
      </c>
      <c r="B48" s="1595">
        <f ca="1">'预评函-3'!E4</f>
        <v>5132</v>
      </c>
    </row>
    <row r="49" spans="1:2" s="1596" customFormat="1">
      <c r="A49" s="1594" t="s">
        <v>1244</v>
      </c>
      <c r="B49" s="1595" t="str">
        <f ca="1">'预评函-3'!D5</f>
        <v>壹亿零肆佰玖拾肆万元整</v>
      </c>
    </row>
    <row r="50" spans="1:2" s="1596" customFormat="1">
      <c r="A50" s="1594" t="s">
        <v>1268</v>
      </c>
      <c r="B50" s="1595" t="str">
        <f>'预评函-3'!F2</f>
        <v>建筑物价值</v>
      </c>
    </row>
    <row r="51" spans="1:2" s="1596" customFormat="1">
      <c r="A51" s="1594" t="s">
        <v>1245</v>
      </c>
      <c r="B51" s="1595">
        <f ca="1">'预评函-3'!F4</f>
        <v>8212</v>
      </c>
    </row>
    <row r="52" spans="1:2" s="1596" customFormat="1">
      <c r="A52" s="1594" t="s">
        <v>1246</v>
      </c>
      <c r="B52" s="1595">
        <f ca="1">'预评函-3'!G4</f>
        <v>4016</v>
      </c>
    </row>
    <row r="53" spans="1:2" s="1596" customFormat="1">
      <c r="A53" s="1594" t="s">
        <v>1274</v>
      </c>
      <c r="B53" s="1595" t="str">
        <f ca="1">'预评函-3'!F5</f>
        <v>捌仟贰佰壹拾贰万元整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3371</v>
      </c>
      <c r="C17" s="2018"/>
    </row>
    <row r="18" spans="1:3">
      <c r="A18" s="2017" t="s">
        <v>1763</v>
      </c>
      <c r="B18" s="2017" t="s">
        <v>3372</v>
      </c>
      <c r="C18" s="2018"/>
    </row>
    <row r="19" spans="1:3">
      <c r="A19" s="2017" t="s">
        <v>1764</v>
      </c>
      <c r="B19" s="2017" t="s">
        <v>3413</v>
      </c>
      <c r="C19" s="2018"/>
    </row>
    <row r="20" spans="1:3">
      <c r="A20" s="2017" t="s">
        <v>1765</v>
      </c>
      <c r="B20" s="2017" t="s">
        <v>3414</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4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25" t="s">
        <v>861</v>
      </c>
      <c r="C54" s="2022" t="s">
        <v>1277</v>
      </c>
    </row>
    <row r="55" spans="1:4">
      <c r="A55" s="3046"/>
      <c r="B55" s="2025" t="s">
        <v>862</v>
      </c>
      <c r="C55" s="2022" t="s">
        <v>1278</v>
      </c>
    </row>
    <row r="56" spans="1:4">
      <c r="A56" s="3046"/>
      <c r="B56" s="2025" t="s">
        <v>863</v>
      </c>
      <c r="C56" s="2022" t="s">
        <v>1282</v>
      </c>
    </row>
    <row r="57" spans="1:4">
      <c r="A57" s="304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47" t="str">
        <f>IF(B10="北京市","北京市",C10)&amp;F10&amp;IF(结果表!G1="在建","出让国有建设用地使用权及在建建筑物",IF(结果表!G1="土地","出让国有建设用地使用权",))&amp;B9&amp;"预评估"</f>
        <v>房地产抵押价值预评估</v>
      </c>
      <c r="C1" s="3048"/>
      <c r="D1" s="3048"/>
      <c r="E1" s="3048"/>
      <c r="F1" s="3048"/>
      <c r="G1" s="3048"/>
      <c r="H1" s="3048"/>
      <c r="I1" s="304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050"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051"/>
      <c r="E9" s="2062"/>
      <c r="F9" s="2064"/>
      <c r="G9" s="2065"/>
      <c r="H9" s="2065"/>
      <c r="I9" s="2065"/>
      <c r="J9" s="2045"/>
      <c r="K9" s="2057"/>
      <c r="L9" s="2031"/>
      <c r="M9" s="2031"/>
      <c r="N9" s="2032"/>
      <c r="O9" s="2033"/>
      <c r="P9" s="2032"/>
      <c r="Q9" s="2032"/>
      <c r="R9" s="2032"/>
    </row>
    <row r="10" spans="1:19" ht="18" customHeight="1" thickTop="1">
      <c r="A10" s="2066" t="s">
        <v>1783</v>
      </c>
      <c r="B10" s="2067" t="s">
        <v>3055</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3057</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57"/>
      <c r="C16" s="3058"/>
      <c r="D16" s="3059"/>
      <c r="E16" s="2089" t="s">
        <v>1798</v>
      </c>
      <c r="F16" s="3060"/>
      <c r="G16" s="3061"/>
      <c r="H16" s="3061"/>
      <c r="I16" s="3062"/>
      <c r="J16" s="2032"/>
      <c r="K16" s="2086"/>
      <c r="L16" s="2087"/>
      <c r="M16" s="2087"/>
      <c r="N16" s="2088"/>
      <c r="O16" s="2087"/>
      <c r="P16" s="2088"/>
      <c r="Q16" s="2032"/>
      <c r="R16" s="2032"/>
    </row>
    <row r="17" spans="1:22" ht="18" customHeight="1">
      <c r="A17" s="2090" t="s">
        <v>1799</v>
      </c>
      <c r="B17" s="2038" t="s">
        <v>1800</v>
      </c>
      <c r="C17" s="1057">
        <f>'数据-汇总表'!E3</f>
        <v>20447.539999999961</v>
      </c>
      <c r="D17" s="2091" t="s">
        <v>1801</v>
      </c>
      <c r="E17" s="3063" t="s">
        <v>1802</v>
      </c>
      <c r="F17" s="3064"/>
      <c r="G17" s="3064"/>
      <c r="H17" s="3064"/>
      <c r="I17" s="3065"/>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40347.69</v>
      </c>
      <c r="D18" s="2094" t="s">
        <v>1801</v>
      </c>
      <c r="E18" s="3066" t="s">
        <v>1805</v>
      </c>
      <c r="F18" s="3067"/>
      <c r="G18" s="3067"/>
      <c r="H18" s="3067"/>
      <c r="I18" s="3068"/>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53" t="s">
        <v>1810</v>
      </c>
      <c r="C20" s="3054"/>
      <c r="D20" s="3055" t="s">
        <v>1811</v>
      </c>
      <c r="E20" s="3056"/>
      <c r="F20" s="2101" t="s">
        <v>1812</v>
      </c>
      <c r="G20" s="2045"/>
      <c r="H20" s="2045"/>
      <c r="I20" s="2045"/>
      <c r="J20" s="2045"/>
      <c r="K20" s="305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70"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70"/>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70"/>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71"/>
      <c r="B30" s="2038" t="s">
        <v>1829</v>
      </c>
      <c r="C30" s="3072"/>
      <c r="D30" s="307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74"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7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7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69" t="s">
        <v>1839</v>
      </c>
      <c r="T34" s="2138" t="str">
        <f>NUMBERSTRING(7-K34,1)&amp;"通"</f>
        <v>七通</v>
      </c>
      <c r="U34" s="2032"/>
      <c r="V34" s="2032"/>
    </row>
    <row r="35" spans="1:22" ht="18" customHeight="1">
      <c r="A35" s="2139"/>
      <c r="B35" s="3076" t="s">
        <v>1840</v>
      </c>
      <c r="C35" s="3076"/>
      <c r="D35" s="3076"/>
      <c r="E35" s="3076"/>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9"/>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3" sqref="B13"/>
    </sheetView>
  </sheetViews>
  <sheetFormatPr defaultColWidth="8.875" defaultRowHeight="14.25"/>
  <cols>
    <col min="1" max="1" width="10.625" style="2163" customWidth="1"/>
    <col min="2" max="2" width="11" style="2163" customWidth="1"/>
    <col min="3" max="3" width="10.375" style="2959" customWidth="1"/>
    <col min="4" max="4" width="9.125" style="2163" customWidth="1"/>
    <col min="5" max="6" width="10" style="2224"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955"/>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2948" t="s">
        <v>3287</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[1]面积表!$F$3+[1]面积表!$F$7</f>
        <v>40347.69</v>
      </c>
      <c r="B3" s="14">
        <f>IF(C3="否",G5-AT5,G5)</f>
        <v>20447.539999999961</v>
      </c>
      <c r="C3" s="1831"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5" customFormat="1" ht="13.5" thickBot="1">
      <c r="A4" s="2172"/>
      <c r="B4" s="2173"/>
      <c r="C4" s="2951"/>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4"/>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2947"/>
      <c r="D5" s="1809"/>
      <c r="E5" s="16" t="s">
        <v>1</v>
      </c>
      <c r="F5" s="16">
        <f>SUM(F13:F587)</f>
        <v>0</v>
      </c>
      <c r="G5" s="16">
        <f>SUM(G13:G587)</f>
        <v>20447.539999999961</v>
      </c>
      <c r="H5" s="16">
        <f t="shared" ref="H5:AT5" si="0">SUM(H13:H656)</f>
        <v>20447.539999999961</v>
      </c>
      <c r="I5" s="16">
        <f t="shared" si="0"/>
        <v>20447.539999999961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20447.539999999961</v>
      </c>
      <c r="BA5" s="18">
        <f t="shared" si="1"/>
        <v>20447.539999999961</v>
      </c>
      <c r="BB5" s="18">
        <f t="shared" si="1"/>
        <v>20447.539999999961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952"/>
      <c r="D6" s="2177"/>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953" t="s">
        <v>3288</v>
      </c>
      <c r="D7" s="2113" t="s">
        <v>1880</v>
      </c>
      <c r="E7" s="2113" t="s">
        <v>1881</v>
      </c>
      <c r="F7" s="2113"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70"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95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954"/>
      <c r="D9" s="2184"/>
      <c r="E9" s="2184"/>
      <c r="F9" s="2184"/>
      <c r="G9" s="1295"/>
      <c r="H9" s="2192" t="s">
        <v>1895</v>
      </c>
      <c r="I9" s="2193" t="s">
        <v>3058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9"/>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95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9"/>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95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9"/>
      <c r="AU11" s="2184"/>
      <c r="AV11" s="1295"/>
      <c r="AW11" s="2169"/>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1" customFormat="1" ht="12.75">
      <c r="A12" s="2209"/>
      <c r="B12" s="2209"/>
      <c r="C12" s="1348"/>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70"/>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1" customFormat="1" ht="12.75">
      <c r="A13" s="1275"/>
      <c r="B13" s="1275" t="s">
        <v>3285</v>
      </c>
      <c r="C13" s="2950" t="s">
        <v>3059</v>
      </c>
      <c r="D13" s="2215" t="s">
        <v>3290</v>
      </c>
      <c r="E13" s="16">
        <f>IF($C$3="是",ROUND($A$3*G13/$B$3,2),ROUND($A$3*(G13-AT13)/$B$3,2))</f>
        <v>105.57</v>
      </c>
      <c r="F13" s="32"/>
      <c r="G13" s="33">
        <f>H13+AC13+AT13</f>
        <v>53.5</v>
      </c>
      <c r="H13" s="20">
        <f>SUMIF(I$12:AB$12,"总值",I13:AB13)</f>
        <v>53.5</v>
      </c>
      <c r="I13" s="2216">
        <v>53.5</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3号楼</v>
      </c>
      <c r="AX13" s="11" t="str">
        <f t="shared" si="6"/>
        <v>101</v>
      </c>
      <c r="AY13" s="1809">
        <f>ROUND($AY$6*AZ13/$AZ$5,2)</f>
        <v>105.57</v>
      </c>
      <c r="AZ13" s="16">
        <f>BA13+BL13</f>
        <v>53.5</v>
      </c>
      <c r="BA13" s="16">
        <f>SUM(BB13:BK13)</f>
        <v>53.5</v>
      </c>
      <c r="BB13" s="16">
        <f>IF($D13="是",I13-J13,0)</f>
        <v>53.5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0" t="s">
        <v>3060</v>
      </c>
      <c r="D14" s="2215" t="s">
        <v>3290</v>
      </c>
      <c r="E14" s="16">
        <f>IF($C$3="是",ROUND($A$3*G14/$B$3,2),ROUND($A$3*(G14-AT14)/$B$3,2))</f>
        <v>144.32</v>
      </c>
      <c r="F14" s="32"/>
      <c r="G14" s="33">
        <f>H14+AC14+AT14</f>
        <v>73.14</v>
      </c>
      <c r="H14" s="20">
        <f>SUMIF(I$12:AB$12,"总值",I14:AB14)</f>
        <v>73.14</v>
      </c>
      <c r="I14" s="2216">
        <v>73.14</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102</v>
      </c>
      <c r="AY14" s="1809">
        <f>ROUND($AY$6*AZ14/$AZ$5,2)</f>
        <v>144.32</v>
      </c>
      <c r="AZ14" s="16">
        <f>BA14+BL14</f>
        <v>73.14</v>
      </c>
      <c r="BA14" s="16">
        <f>SUM(BB14:BK14)</f>
        <v>73.14</v>
      </c>
      <c r="BB14" s="16">
        <f>IF($D14="是",I14-J14,0)</f>
        <v>73.14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0" t="s">
        <v>3061</v>
      </c>
      <c r="D15" s="2215" t="s">
        <v>3290</v>
      </c>
      <c r="E15" s="16">
        <f>IF($C$3="是",ROUND($A$3*G15/$B$3,2),ROUND($A$3*(G15-AT15)/$B$3,2))</f>
        <v>144.58000000000001</v>
      </c>
      <c r="F15" s="32"/>
      <c r="G15" s="33">
        <f>H15+AC15+AT15</f>
        <v>73.27</v>
      </c>
      <c r="H15" s="20">
        <f>SUMIF(I$12:AB$12,"总值",I15:AB15)</f>
        <v>73.27</v>
      </c>
      <c r="I15" s="2216">
        <v>73.27</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103</v>
      </c>
      <c r="AY15" s="1809">
        <f>ROUND($AY$6*AZ15/$AZ$5,2)</f>
        <v>144.58000000000001</v>
      </c>
      <c r="AZ15" s="16">
        <f>BA15+BL15</f>
        <v>73.27</v>
      </c>
      <c r="BA15" s="16">
        <f>SUM(BB15:BK15)</f>
        <v>73.27</v>
      </c>
      <c r="BB15" s="16">
        <f>IF($D15="是",I15-J15,0)</f>
        <v>73.27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0" t="s">
        <v>3062</v>
      </c>
      <c r="D16" s="2215" t="s">
        <v>3290</v>
      </c>
      <c r="E16" s="16">
        <f>IF($C$3="是",ROUND($A$3*G16/$B$3,2),ROUND($A$3*(G16-AT16)/$B$3,2))</f>
        <v>105.63</v>
      </c>
      <c r="F16" s="32"/>
      <c r="G16" s="33">
        <f>H16+AC16+AT16</f>
        <v>53.53</v>
      </c>
      <c r="H16" s="20">
        <f>SUMIF(I$12:AB$12,"总值",I16:AB16)</f>
        <v>53.53</v>
      </c>
      <c r="I16" s="2216">
        <v>53.53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104</v>
      </c>
      <c r="AY16" s="1809">
        <f>ROUND($AY$6*AZ16/$AZ$5,2)</f>
        <v>105.63</v>
      </c>
      <c r="AZ16" s="16">
        <f>BA16+BL16</f>
        <v>53.53</v>
      </c>
      <c r="BA16" s="16">
        <f>SUM(BB16:BK16)</f>
        <v>53.53</v>
      </c>
      <c r="BB16" s="16">
        <f>IF($D16="是",I16-J16,0)</f>
        <v>53.53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950"/>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t="s">
        <v>3064</v>
      </c>
      <c r="D18" s="2220" t="s">
        <v>3290</v>
      </c>
      <c r="E18" s="35">
        <f t="shared" ref="E18:E112" si="7">IF($C$3="是",ROUND($A$3*G18/$B$3,2),ROUND($A$3*(G18-AT18)/$B$3,2))</f>
        <v>105.73</v>
      </c>
      <c r="F18" s="36"/>
      <c r="G18" s="37">
        <f t="shared" ref="G18:G109" si="8">H18+AC18+AT18</f>
        <v>53.58</v>
      </c>
      <c r="H18" s="38">
        <f t="shared" ref="H18:H109" si="9">SUMIF(I$12:AB$12,"总值",I18:AB18)</f>
        <v>53.58</v>
      </c>
      <c r="I18" s="39">
        <v>53.58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t="str">
        <f t="shared" ref="AX18:AX112" si="13">C18</f>
        <v>106</v>
      </c>
      <c r="AY18" s="42">
        <f t="shared" ref="AY18:AY109" si="14">ROUND($AY$6*AZ18/$AZ$5,2)</f>
        <v>105.73</v>
      </c>
      <c r="AZ18" s="35">
        <f t="shared" ref="AZ18:AZ109" si="15">BA18+BL18</f>
        <v>53.58</v>
      </c>
      <c r="BA18" s="35">
        <f t="shared" ref="BA18:BA109" si="16">SUM(BB18:BK18)</f>
        <v>53.58</v>
      </c>
      <c r="BB18" s="35">
        <f t="shared" ref="BB18:BB109" si="17">IF($D18="是",I18-J18,0)</f>
        <v>53.58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t="s">
        <v>3065</v>
      </c>
      <c r="D19" s="2220" t="s">
        <v>3290</v>
      </c>
      <c r="E19" s="35">
        <f t="shared" si="7"/>
        <v>107.07</v>
      </c>
      <c r="F19" s="36"/>
      <c r="G19" s="37">
        <f t="shared" si="8"/>
        <v>54.26</v>
      </c>
      <c r="H19" s="38">
        <f t="shared" si="9"/>
        <v>54.26</v>
      </c>
      <c r="I19" s="39">
        <v>54.26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t="str">
        <f t="shared" si="13"/>
        <v>107</v>
      </c>
      <c r="AY19" s="42">
        <f t="shared" si="14"/>
        <v>107.07</v>
      </c>
      <c r="AZ19" s="35">
        <f t="shared" si="15"/>
        <v>54.26</v>
      </c>
      <c r="BA19" s="35">
        <f t="shared" si="16"/>
        <v>54.26</v>
      </c>
      <c r="BB19" s="35">
        <f t="shared" si="17"/>
        <v>54.26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0" t="s">
        <v>3066</v>
      </c>
      <c r="D20" s="2220" t="s">
        <v>3290</v>
      </c>
      <c r="E20" s="35">
        <f t="shared" si="7"/>
        <v>122.72</v>
      </c>
      <c r="F20" s="36"/>
      <c r="G20" s="37">
        <f t="shared" si="8"/>
        <v>62.19</v>
      </c>
      <c r="H20" s="38">
        <f t="shared" si="9"/>
        <v>62.19</v>
      </c>
      <c r="I20" s="39">
        <v>62.19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t="str">
        <f t="shared" si="13"/>
        <v>108</v>
      </c>
      <c r="AY20" s="42">
        <f t="shared" si="14"/>
        <v>122.72</v>
      </c>
      <c r="AZ20" s="35">
        <f t="shared" si="15"/>
        <v>62.19</v>
      </c>
      <c r="BA20" s="35">
        <f t="shared" si="16"/>
        <v>62.19</v>
      </c>
      <c r="BB20" s="35">
        <f t="shared" si="17"/>
        <v>62.19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0" t="s">
        <v>3067</v>
      </c>
      <c r="D21" s="2220" t="s">
        <v>3290</v>
      </c>
      <c r="E21" s="35">
        <f t="shared" si="7"/>
        <v>106.59</v>
      </c>
      <c r="F21" s="36"/>
      <c r="G21" s="37">
        <f t="shared" si="8"/>
        <v>54.02</v>
      </c>
      <c r="H21" s="38">
        <f t="shared" si="9"/>
        <v>54.02</v>
      </c>
      <c r="I21" s="39">
        <v>54.02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t="str">
        <f t="shared" si="13"/>
        <v>109</v>
      </c>
      <c r="AY21" s="42">
        <f t="shared" si="14"/>
        <v>106.59</v>
      </c>
      <c r="AZ21" s="35">
        <f t="shared" si="15"/>
        <v>54.02</v>
      </c>
      <c r="BA21" s="35">
        <f t="shared" si="16"/>
        <v>54.02</v>
      </c>
      <c r="BB21" s="35">
        <f t="shared" si="17"/>
        <v>54.02</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0" t="s">
        <v>3068</v>
      </c>
      <c r="D22" s="2220" t="s">
        <v>3290</v>
      </c>
      <c r="E22" s="35">
        <f t="shared" si="7"/>
        <v>107.09</v>
      </c>
      <c r="F22" s="36"/>
      <c r="G22" s="37">
        <f t="shared" si="8"/>
        <v>54.27</v>
      </c>
      <c r="H22" s="38">
        <f t="shared" si="9"/>
        <v>54.27</v>
      </c>
      <c r="I22" s="39">
        <v>54.27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t="str">
        <f t="shared" si="13"/>
        <v>110</v>
      </c>
      <c r="AY22" s="42">
        <f t="shared" si="14"/>
        <v>107.09</v>
      </c>
      <c r="AZ22" s="35">
        <f t="shared" si="15"/>
        <v>54.27</v>
      </c>
      <c r="BA22" s="35">
        <f t="shared" si="16"/>
        <v>54.27</v>
      </c>
      <c r="BB22" s="35">
        <f t="shared" si="17"/>
        <v>54.27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0" t="s">
        <v>3069</v>
      </c>
      <c r="D23" s="2220" t="s">
        <v>3290</v>
      </c>
      <c r="E23" s="35">
        <f t="shared" si="7"/>
        <v>107.09</v>
      </c>
      <c r="F23" s="36"/>
      <c r="G23" s="37">
        <f t="shared" si="8"/>
        <v>54.27</v>
      </c>
      <c r="H23" s="38">
        <f t="shared" si="9"/>
        <v>54.27</v>
      </c>
      <c r="I23" s="39">
        <v>54.27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t="str">
        <f t="shared" si="13"/>
        <v>111</v>
      </c>
      <c r="AY23" s="42">
        <f t="shared" si="14"/>
        <v>107.09</v>
      </c>
      <c r="AZ23" s="35">
        <f t="shared" si="15"/>
        <v>54.27</v>
      </c>
      <c r="BA23" s="35">
        <f t="shared" si="16"/>
        <v>54.27</v>
      </c>
      <c r="BB23" s="35">
        <f t="shared" si="17"/>
        <v>54.27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0" t="s">
        <v>3070</v>
      </c>
      <c r="D24" s="2220" t="s">
        <v>3290</v>
      </c>
      <c r="E24" s="35">
        <f t="shared" si="7"/>
        <v>107.03</v>
      </c>
      <c r="F24" s="36"/>
      <c r="G24" s="37">
        <f t="shared" si="8"/>
        <v>54.24</v>
      </c>
      <c r="H24" s="38">
        <f t="shared" si="9"/>
        <v>54.24</v>
      </c>
      <c r="I24" s="39">
        <v>54.24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t="str">
        <f t="shared" si="13"/>
        <v>112</v>
      </c>
      <c r="AY24" s="42">
        <f t="shared" si="14"/>
        <v>107.03</v>
      </c>
      <c r="AZ24" s="35">
        <f t="shared" si="15"/>
        <v>54.24</v>
      </c>
      <c r="BA24" s="35">
        <f t="shared" si="16"/>
        <v>54.24</v>
      </c>
      <c r="BB24" s="35">
        <f t="shared" si="17"/>
        <v>54.24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0" t="s">
        <v>3071</v>
      </c>
      <c r="D25" s="2220" t="s">
        <v>3290</v>
      </c>
      <c r="E25" s="35">
        <f t="shared" si="7"/>
        <v>147.36000000000001</v>
      </c>
      <c r="F25" s="36"/>
      <c r="G25" s="37">
        <f t="shared" si="8"/>
        <v>74.680000000000007</v>
      </c>
      <c r="H25" s="38">
        <f t="shared" si="9"/>
        <v>74.680000000000007</v>
      </c>
      <c r="I25" s="39">
        <v>74.680000000000007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t="str">
        <f t="shared" si="13"/>
        <v>113</v>
      </c>
      <c r="AY25" s="42">
        <f t="shared" si="14"/>
        <v>147.36000000000001</v>
      </c>
      <c r="AZ25" s="35">
        <f t="shared" si="15"/>
        <v>74.680000000000007</v>
      </c>
      <c r="BA25" s="35">
        <f t="shared" si="16"/>
        <v>74.680000000000007</v>
      </c>
      <c r="BB25" s="35">
        <f t="shared" si="17"/>
        <v>74.680000000000007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0" t="s">
        <v>3072</v>
      </c>
      <c r="D26" s="2220" t="s">
        <v>3290</v>
      </c>
      <c r="E26" s="35">
        <f t="shared" si="7"/>
        <v>146.12</v>
      </c>
      <c r="F26" s="36"/>
      <c r="G26" s="37">
        <f t="shared" si="8"/>
        <v>74.05</v>
      </c>
      <c r="H26" s="38">
        <f t="shared" si="9"/>
        <v>74.05</v>
      </c>
      <c r="I26" s="39">
        <v>74.05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t="str">
        <f t="shared" si="13"/>
        <v>114</v>
      </c>
      <c r="AY26" s="42">
        <f t="shared" si="14"/>
        <v>146.12</v>
      </c>
      <c r="AZ26" s="35">
        <f t="shared" si="15"/>
        <v>74.05</v>
      </c>
      <c r="BA26" s="35">
        <f t="shared" si="16"/>
        <v>74.05</v>
      </c>
      <c r="BB26" s="35">
        <f t="shared" si="17"/>
        <v>74.05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t="s">
        <v>3073</v>
      </c>
      <c r="D27" s="2220" t="s">
        <v>3290</v>
      </c>
      <c r="E27" s="35">
        <f t="shared" si="7"/>
        <v>107.03</v>
      </c>
      <c r="F27" s="36"/>
      <c r="G27" s="37">
        <f t="shared" si="8"/>
        <v>54.24</v>
      </c>
      <c r="H27" s="38">
        <f t="shared" si="9"/>
        <v>54.24</v>
      </c>
      <c r="I27" s="39">
        <v>54.24</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t="str">
        <f t="shared" si="13"/>
        <v>115</v>
      </c>
      <c r="AY27" s="42">
        <f t="shared" si="14"/>
        <v>107.03</v>
      </c>
      <c r="AZ27" s="35">
        <f t="shared" si="15"/>
        <v>54.24</v>
      </c>
      <c r="BA27" s="35">
        <f t="shared" si="16"/>
        <v>54.24</v>
      </c>
      <c r="BB27" s="35">
        <f t="shared" si="17"/>
        <v>54.24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0" t="s">
        <v>3074</v>
      </c>
      <c r="D28" s="2220" t="s">
        <v>3290</v>
      </c>
      <c r="E28" s="35">
        <f t="shared" si="7"/>
        <v>107.09</v>
      </c>
      <c r="F28" s="36"/>
      <c r="G28" s="37">
        <f t="shared" si="8"/>
        <v>54.27</v>
      </c>
      <c r="H28" s="38">
        <f t="shared" si="9"/>
        <v>54.27</v>
      </c>
      <c r="I28" s="39">
        <v>54.27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t="str">
        <f t="shared" si="13"/>
        <v>116</v>
      </c>
      <c r="AY28" s="42">
        <f t="shared" si="14"/>
        <v>107.09</v>
      </c>
      <c r="AZ28" s="35">
        <f t="shared" si="15"/>
        <v>54.27</v>
      </c>
      <c r="BA28" s="35">
        <f t="shared" si="16"/>
        <v>54.27</v>
      </c>
      <c r="BB28" s="35">
        <f t="shared" si="17"/>
        <v>54.27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0" t="s">
        <v>3075</v>
      </c>
      <c r="D29" s="2220" t="s">
        <v>3290</v>
      </c>
      <c r="E29" s="35">
        <f t="shared" si="7"/>
        <v>105.75</v>
      </c>
      <c r="F29" s="36"/>
      <c r="G29" s="37">
        <f t="shared" si="8"/>
        <v>53.59</v>
      </c>
      <c r="H29" s="38">
        <f t="shared" si="9"/>
        <v>53.59</v>
      </c>
      <c r="I29" s="39">
        <v>53.59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t="str">
        <f t="shared" si="13"/>
        <v>117</v>
      </c>
      <c r="AY29" s="42">
        <f t="shared" si="14"/>
        <v>105.75</v>
      </c>
      <c r="AZ29" s="35">
        <f t="shared" si="15"/>
        <v>53.59</v>
      </c>
      <c r="BA29" s="35">
        <f t="shared" si="16"/>
        <v>53.59</v>
      </c>
      <c r="BB29" s="35">
        <f t="shared" si="17"/>
        <v>53.59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0" t="s">
        <v>3076</v>
      </c>
      <c r="D30" s="2220" t="s">
        <v>3290</v>
      </c>
      <c r="E30" s="35">
        <f t="shared" si="7"/>
        <v>130.71</v>
      </c>
      <c r="F30" s="36"/>
      <c r="G30" s="37">
        <f t="shared" si="8"/>
        <v>66.239999999999995</v>
      </c>
      <c r="H30" s="38">
        <f t="shared" si="9"/>
        <v>66.239999999999995</v>
      </c>
      <c r="I30" s="39">
        <v>66.239999999999995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t="str">
        <f t="shared" si="13"/>
        <v>118</v>
      </c>
      <c r="AY30" s="42">
        <f t="shared" si="14"/>
        <v>130.71</v>
      </c>
      <c r="AZ30" s="35">
        <f t="shared" si="15"/>
        <v>66.239999999999995</v>
      </c>
      <c r="BA30" s="35">
        <f t="shared" si="16"/>
        <v>66.239999999999995</v>
      </c>
      <c r="BB30" s="35">
        <f t="shared" si="17"/>
        <v>66.239999999999995</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t="s">
        <v>3077</v>
      </c>
      <c r="D31" s="2220" t="s">
        <v>3290</v>
      </c>
      <c r="E31" s="35">
        <f t="shared" si="7"/>
        <v>100.38</v>
      </c>
      <c r="F31" s="36"/>
      <c r="G31" s="37">
        <f t="shared" si="8"/>
        <v>50.87</v>
      </c>
      <c r="H31" s="38">
        <f t="shared" si="9"/>
        <v>50.87</v>
      </c>
      <c r="I31" s="39">
        <v>50.87</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t="str">
        <f t="shared" si="13"/>
        <v>201</v>
      </c>
      <c r="AY31" s="42">
        <f t="shared" si="14"/>
        <v>100.38</v>
      </c>
      <c r="AZ31" s="35">
        <f t="shared" si="15"/>
        <v>50.87</v>
      </c>
      <c r="BA31" s="35">
        <f t="shared" si="16"/>
        <v>50.87</v>
      </c>
      <c r="BB31" s="35">
        <f t="shared" si="17"/>
        <v>50.87</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t="s">
        <v>3078</v>
      </c>
      <c r="D32" s="2220" t="s">
        <v>3290</v>
      </c>
      <c r="E32" s="35">
        <f t="shared" si="7"/>
        <v>106.57</v>
      </c>
      <c r="F32" s="36"/>
      <c r="G32" s="37">
        <f t="shared" si="8"/>
        <v>54.01</v>
      </c>
      <c r="H32" s="38">
        <f t="shared" si="9"/>
        <v>54.01</v>
      </c>
      <c r="I32" s="39">
        <v>54.01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t="str">
        <f t="shared" si="13"/>
        <v>202</v>
      </c>
      <c r="AY32" s="42">
        <f t="shared" si="14"/>
        <v>106.57</v>
      </c>
      <c r="AZ32" s="35">
        <f t="shared" si="15"/>
        <v>54.01</v>
      </c>
      <c r="BA32" s="35">
        <f t="shared" si="16"/>
        <v>54.01</v>
      </c>
      <c r="BB32" s="35">
        <f t="shared" si="17"/>
        <v>54.01</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t="s">
        <v>3079</v>
      </c>
      <c r="D33" s="2220" t="s">
        <v>3290</v>
      </c>
      <c r="E33" s="35">
        <f t="shared" si="7"/>
        <v>102.69</v>
      </c>
      <c r="F33" s="36"/>
      <c r="G33" s="37">
        <f t="shared" si="8"/>
        <v>52.04</v>
      </c>
      <c r="H33" s="38">
        <f t="shared" si="9"/>
        <v>52.04</v>
      </c>
      <c r="I33" s="39">
        <v>52.04</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t="str">
        <f t="shared" si="13"/>
        <v>203</v>
      </c>
      <c r="AY33" s="42">
        <f t="shared" si="14"/>
        <v>102.69</v>
      </c>
      <c r="AZ33" s="35">
        <f t="shared" si="15"/>
        <v>52.04</v>
      </c>
      <c r="BA33" s="35">
        <f t="shared" si="16"/>
        <v>52.04</v>
      </c>
      <c r="BB33" s="35">
        <f t="shared" si="17"/>
        <v>52.04</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t="s">
        <v>3080</v>
      </c>
      <c r="D34" s="2220" t="s">
        <v>3290</v>
      </c>
      <c r="E34" s="35">
        <f t="shared" si="7"/>
        <v>140.24</v>
      </c>
      <c r="F34" s="36"/>
      <c r="G34" s="37">
        <f t="shared" si="8"/>
        <v>71.069999999999993</v>
      </c>
      <c r="H34" s="38">
        <f t="shared" si="9"/>
        <v>71.069999999999993</v>
      </c>
      <c r="I34" s="39">
        <v>71.069999999999993</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t="str">
        <f t="shared" si="13"/>
        <v>204</v>
      </c>
      <c r="AY34" s="42">
        <f t="shared" si="14"/>
        <v>140.24</v>
      </c>
      <c r="AZ34" s="35">
        <f t="shared" si="15"/>
        <v>71.069999999999993</v>
      </c>
      <c r="BA34" s="35">
        <f t="shared" si="16"/>
        <v>71.069999999999993</v>
      </c>
      <c r="BB34" s="35">
        <f t="shared" si="17"/>
        <v>71.069999999999993</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t="s">
        <v>3081</v>
      </c>
      <c r="D35" s="2220" t="s">
        <v>3290</v>
      </c>
      <c r="E35" s="35">
        <f t="shared" si="7"/>
        <v>141.07</v>
      </c>
      <c r="F35" s="36"/>
      <c r="G35" s="37">
        <f t="shared" si="8"/>
        <v>71.489999999999995</v>
      </c>
      <c r="H35" s="38">
        <f t="shared" si="9"/>
        <v>71.489999999999995</v>
      </c>
      <c r="I35" s="39">
        <v>71.489999999999995</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t="str">
        <f t="shared" si="13"/>
        <v>205</v>
      </c>
      <c r="AY35" s="42">
        <f t="shared" si="14"/>
        <v>141.07</v>
      </c>
      <c r="AZ35" s="35">
        <f t="shared" si="15"/>
        <v>71.489999999999995</v>
      </c>
      <c r="BA35" s="35">
        <f t="shared" si="16"/>
        <v>71.489999999999995</v>
      </c>
      <c r="BB35" s="35">
        <f t="shared" si="17"/>
        <v>71.489999999999995</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t="s">
        <v>3082</v>
      </c>
      <c r="D36" s="2220" t="s">
        <v>3290</v>
      </c>
      <c r="E36" s="35">
        <f t="shared" si="7"/>
        <v>103.06</v>
      </c>
      <c r="F36" s="36"/>
      <c r="G36" s="37">
        <f t="shared" si="8"/>
        <v>52.23</v>
      </c>
      <c r="H36" s="38">
        <f t="shared" si="9"/>
        <v>52.23</v>
      </c>
      <c r="I36" s="39">
        <v>52.23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t="str">
        <f t="shared" si="13"/>
        <v>206</v>
      </c>
      <c r="AY36" s="42">
        <f t="shared" si="14"/>
        <v>103.06</v>
      </c>
      <c r="AZ36" s="35">
        <f t="shared" si="15"/>
        <v>52.23</v>
      </c>
      <c r="BA36" s="35">
        <f t="shared" si="16"/>
        <v>52.23</v>
      </c>
      <c r="BB36" s="35">
        <f t="shared" si="17"/>
        <v>52.23</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t="s">
        <v>3083</v>
      </c>
      <c r="D37" s="2220" t="s">
        <v>3290</v>
      </c>
      <c r="E37" s="35">
        <f t="shared" si="7"/>
        <v>103.2</v>
      </c>
      <c r="F37" s="36"/>
      <c r="G37" s="37">
        <f t="shared" si="8"/>
        <v>52.3</v>
      </c>
      <c r="H37" s="38">
        <f t="shared" si="9"/>
        <v>52.3</v>
      </c>
      <c r="I37" s="39">
        <v>52.3</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t="str">
        <f t="shared" si="13"/>
        <v>207</v>
      </c>
      <c r="AY37" s="42">
        <f t="shared" si="14"/>
        <v>103.2</v>
      </c>
      <c r="AZ37" s="35">
        <f t="shared" si="15"/>
        <v>52.3</v>
      </c>
      <c r="BA37" s="35">
        <f t="shared" si="16"/>
        <v>52.3</v>
      </c>
      <c r="BB37" s="35">
        <f t="shared" si="17"/>
        <v>52.3</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t="s">
        <v>3084</v>
      </c>
      <c r="D38" s="2220" t="s">
        <v>3290</v>
      </c>
      <c r="E38" s="35">
        <f t="shared" si="7"/>
        <v>103.14</v>
      </c>
      <c r="F38" s="36"/>
      <c r="G38" s="37">
        <f t="shared" si="8"/>
        <v>52.27</v>
      </c>
      <c r="H38" s="38">
        <f t="shared" si="9"/>
        <v>52.27</v>
      </c>
      <c r="I38" s="39">
        <v>52.27</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t="str">
        <f t="shared" si="13"/>
        <v>208</v>
      </c>
      <c r="AY38" s="42">
        <f t="shared" si="14"/>
        <v>103.14</v>
      </c>
      <c r="AZ38" s="35">
        <f t="shared" si="15"/>
        <v>52.27</v>
      </c>
      <c r="BA38" s="35">
        <f t="shared" si="16"/>
        <v>52.27</v>
      </c>
      <c r="BB38" s="35">
        <f t="shared" si="17"/>
        <v>52.27</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t="s">
        <v>3085</v>
      </c>
      <c r="D39" s="2220" t="s">
        <v>3290</v>
      </c>
      <c r="E39" s="35">
        <f t="shared" si="7"/>
        <v>104.46</v>
      </c>
      <c r="F39" s="36"/>
      <c r="G39" s="37">
        <f t="shared" si="8"/>
        <v>52.94</v>
      </c>
      <c r="H39" s="38">
        <f t="shared" si="9"/>
        <v>52.94</v>
      </c>
      <c r="I39" s="39">
        <v>52.94</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t="str">
        <f t="shared" si="13"/>
        <v>209</v>
      </c>
      <c r="AY39" s="42">
        <f t="shared" si="14"/>
        <v>104.46</v>
      </c>
      <c r="AZ39" s="35">
        <f t="shared" si="15"/>
        <v>52.94</v>
      </c>
      <c r="BA39" s="35">
        <f t="shared" si="16"/>
        <v>52.94</v>
      </c>
      <c r="BB39" s="35">
        <f t="shared" si="17"/>
        <v>52.94</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t="s">
        <v>3086</v>
      </c>
      <c r="D40" s="2220" t="s">
        <v>3290</v>
      </c>
      <c r="E40" s="35">
        <f t="shared" si="7"/>
        <v>119.56</v>
      </c>
      <c r="F40" s="36"/>
      <c r="G40" s="37">
        <f t="shared" si="8"/>
        <v>60.59</v>
      </c>
      <c r="H40" s="38">
        <f t="shared" si="9"/>
        <v>60.59</v>
      </c>
      <c r="I40" s="39">
        <v>60.59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t="str">
        <f t="shared" si="13"/>
        <v>210</v>
      </c>
      <c r="AY40" s="42">
        <f t="shared" si="14"/>
        <v>119.56</v>
      </c>
      <c r="AZ40" s="35">
        <f t="shared" si="15"/>
        <v>60.59</v>
      </c>
      <c r="BA40" s="35">
        <f t="shared" si="16"/>
        <v>60.59</v>
      </c>
      <c r="BB40" s="35">
        <f t="shared" si="17"/>
        <v>60.59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t="s">
        <v>3087</v>
      </c>
      <c r="D41" s="2220" t="s">
        <v>3290</v>
      </c>
      <c r="E41" s="35">
        <f t="shared" si="7"/>
        <v>130.91999999999999</v>
      </c>
      <c r="F41" s="36"/>
      <c r="G41" s="37">
        <f t="shared" si="8"/>
        <v>66.349999999999994</v>
      </c>
      <c r="H41" s="38">
        <f t="shared" si="9"/>
        <v>66.349999999999994</v>
      </c>
      <c r="I41" s="39">
        <v>66.349999999999994</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t="str">
        <f t="shared" si="13"/>
        <v>211</v>
      </c>
      <c r="AY41" s="42">
        <f t="shared" si="14"/>
        <v>130.91999999999999</v>
      </c>
      <c r="AZ41" s="35">
        <f t="shared" si="15"/>
        <v>66.349999999999994</v>
      </c>
      <c r="BA41" s="35">
        <f t="shared" si="16"/>
        <v>66.349999999999994</v>
      </c>
      <c r="BB41" s="35">
        <f t="shared" si="17"/>
        <v>66.349999999999994</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t="s">
        <v>3088</v>
      </c>
      <c r="D42" s="2220" t="s">
        <v>3290</v>
      </c>
      <c r="E42" s="35">
        <f t="shared" si="7"/>
        <v>119.56</v>
      </c>
      <c r="F42" s="36"/>
      <c r="G42" s="37">
        <f t="shared" si="8"/>
        <v>60.59</v>
      </c>
      <c r="H42" s="38">
        <f t="shared" si="9"/>
        <v>60.59</v>
      </c>
      <c r="I42" s="39">
        <v>60.59</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t="str">
        <f t="shared" si="13"/>
        <v>212</v>
      </c>
      <c r="AY42" s="42">
        <f t="shared" si="14"/>
        <v>119.56</v>
      </c>
      <c r="AZ42" s="35">
        <f t="shared" si="15"/>
        <v>60.59</v>
      </c>
      <c r="BA42" s="35">
        <f t="shared" si="16"/>
        <v>60.59</v>
      </c>
      <c r="BB42" s="35">
        <f t="shared" si="17"/>
        <v>60.59</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t="s">
        <v>3089</v>
      </c>
      <c r="D43" s="2220" t="s">
        <v>3290</v>
      </c>
      <c r="E43" s="35">
        <f t="shared" si="7"/>
        <v>104.6</v>
      </c>
      <c r="F43" s="36"/>
      <c r="G43" s="37">
        <f t="shared" si="8"/>
        <v>53.01</v>
      </c>
      <c r="H43" s="38">
        <f t="shared" si="9"/>
        <v>53.01</v>
      </c>
      <c r="I43" s="39">
        <v>53.01</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t="str">
        <f t="shared" si="13"/>
        <v>213</v>
      </c>
      <c r="AY43" s="42">
        <f t="shared" si="14"/>
        <v>104.6</v>
      </c>
      <c r="AZ43" s="35">
        <f t="shared" si="15"/>
        <v>53.01</v>
      </c>
      <c r="BA43" s="35">
        <f t="shared" si="16"/>
        <v>53.01</v>
      </c>
      <c r="BB43" s="35">
        <f t="shared" si="17"/>
        <v>53.01</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t="s">
        <v>3090</v>
      </c>
      <c r="D44" s="2220" t="s">
        <v>3290</v>
      </c>
      <c r="E44" s="35">
        <f t="shared" si="7"/>
        <v>104.48</v>
      </c>
      <c r="F44" s="36"/>
      <c r="G44" s="37">
        <f t="shared" si="8"/>
        <v>52.95</v>
      </c>
      <c r="H44" s="38">
        <f t="shared" si="9"/>
        <v>52.95</v>
      </c>
      <c r="I44" s="39">
        <v>52.95</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t="str">
        <f t="shared" si="13"/>
        <v>214</v>
      </c>
      <c r="AY44" s="42">
        <f t="shared" si="14"/>
        <v>104.48</v>
      </c>
      <c r="AZ44" s="35">
        <f t="shared" si="15"/>
        <v>52.95</v>
      </c>
      <c r="BA44" s="35">
        <f t="shared" si="16"/>
        <v>52.95</v>
      </c>
      <c r="BB44" s="35">
        <f t="shared" si="17"/>
        <v>52.95</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t="s">
        <v>3091</v>
      </c>
      <c r="D45" s="2220" t="s">
        <v>3290</v>
      </c>
      <c r="E45" s="35">
        <f t="shared" si="7"/>
        <v>104.48</v>
      </c>
      <c r="F45" s="36"/>
      <c r="G45" s="37">
        <f t="shared" si="8"/>
        <v>52.95</v>
      </c>
      <c r="H45" s="38">
        <f t="shared" si="9"/>
        <v>52.95</v>
      </c>
      <c r="I45" s="39">
        <v>52.95</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t="str">
        <f t="shared" si="13"/>
        <v>215</v>
      </c>
      <c r="AY45" s="42">
        <f t="shared" si="14"/>
        <v>104.48</v>
      </c>
      <c r="AZ45" s="35">
        <f t="shared" si="15"/>
        <v>52.95</v>
      </c>
      <c r="BA45" s="35">
        <f t="shared" si="16"/>
        <v>52.95</v>
      </c>
      <c r="BB45" s="35">
        <f t="shared" si="17"/>
        <v>52.95</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t="s">
        <v>3092</v>
      </c>
      <c r="D46" s="2220" t="s">
        <v>3290</v>
      </c>
      <c r="E46" s="35">
        <f t="shared" si="7"/>
        <v>104.42</v>
      </c>
      <c r="F46" s="36"/>
      <c r="G46" s="37">
        <f t="shared" si="8"/>
        <v>52.92</v>
      </c>
      <c r="H46" s="38">
        <f t="shared" si="9"/>
        <v>52.92</v>
      </c>
      <c r="I46" s="39">
        <v>52.92</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t="str">
        <f t="shared" si="13"/>
        <v>216</v>
      </c>
      <c r="AY46" s="42">
        <f t="shared" si="14"/>
        <v>104.42</v>
      </c>
      <c r="AZ46" s="35">
        <f t="shared" si="15"/>
        <v>52.92</v>
      </c>
      <c r="BA46" s="35">
        <f t="shared" si="16"/>
        <v>52.92</v>
      </c>
      <c r="BB46" s="35">
        <f t="shared" si="17"/>
        <v>52.92</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t="s">
        <v>3093</v>
      </c>
      <c r="D47" s="2220" t="s">
        <v>3290</v>
      </c>
      <c r="E47" s="35">
        <f t="shared" si="7"/>
        <v>143.79</v>
      </c>
      <c r="F47" s="36"/>
      <c r="G47" s="37">
        <f t="shared" si="8"/>
        <v>72.87</v>
      </c>
      <c r="H47" s="38">
        <f t="shared" si="9"/>
        <v>72.87</v>
      </c>
      <c r="I47" s="39">
        <v>72.87</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t="str">
        <f t="shared" si="13"/>
        <v>217</v>
      </c>
      <c r="AY47" s="42">
        <f t="shared" si="14"/>
        <v>143.79</v>
      </c>
      <c r="AZ47" s="35">
        <f t="shared" si="15"/>
        <v>72.87</v>
      </c>
      <c r="BA47" s="35">
        <f t="shared" si="16"/>
        <v>72.87</v>
      </c>
      <c r="BB47" s="35">
        <f t="shared" si="17"/>
        <v>72.87</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t="s">
        <v>3094</v>
      </c>
      <c r="D48" s="2220" t="s">
        <v>3290</v>
      </c>
      <c r="E48" s="35">
        <f t="shared" si="7"/>
        <v>142.55000000000001</v>
      </c>
      <c r="F48" s="36"/>
      <c r="G48" s="37">
        <f t="shared" si="8"/>
        <v>72.239999999999995</v>
      </c>
      <c r="H48" s="38">
        <f t="shared" si="9"/>
        <v>72.239999999999995</v>
      </c>
      <c r="I48" s="39">
        <v>72.239999999999995</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t="str">
        <f t="shared" si="13"/>
        <v>218</v>
      </c>
      <c r="AY48" s="42">
        <f t="shared" si="14"/>
        <v>142.55000000000001</v>
      </c>
      <c r="AZ48" s="35">
        <f t="shared" si="15"/>
        <v>72.239999999999995</v>
      </c>
      <c r="BA48" s="35">
        <f t="shared" si="16"/>
        <v>72.239999999999995</v>
      </c>
      <c r="BB48" s="35">
        <f t="shared" si="17"/>
        <v>72.239999999999995</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t="s">
        <v>3095</v>
      </c>
      <c r="D49" s="2220" t="s">
        <v>3290</v>
      </c>
      <c r="E49" s="35">
        <f t="shared" si="7"/>
        <v>104.42</v>
      </c>
      <c r="F49" s="36"/>
      <c r="G49" s="37">
        <f t="shared" si="8"/>
        <v>52.92</v>
      </c>
      <c r="H49" s="38">
        <f t="shared" si="9"/>
        <v>52.92</v>
      </c>
      <c r="I49" s="39">
        <v>52.92</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t="str">
        <f t="shared" si="13"/>
        <v>219</v>
      </c>
      <c r="AY49" s="42">
        <f t="shared" si="14"/>
        <v>104.42</v>
      </c>
      <c r="AZ49" s="35">
        <f t="shared" si="15"/>
        <v>52.92</v>
      </c>
      <c r="BA49" s="35">
        <f t="shared" si="16"/>
        <v>52.92</v>
      </c>
      <c r="BB49" s="35">
        <f t="shared" si="17"/>
        <v>52.92</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t="s">
        <v>3096</v>
      </c>
      <c r="D50" s="2220" t="s">
        <v>3290</v>
      </c>
      <c r="E50" s="35">
        <f t="shared" si="7"/>
        <v>104.48</v>
      </c>
      <c r="F50" s="36"/>
      <c r="G50" s="37">
        <f t="shared" si="8"/>
        <v>52.95</v>
      </c>
      <c r="H50" s="38">
        <f t="shared" si="9"/>
        <v>52.95</v>
      </c>
      <c r="I50" s="39">
        <v>52.95</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t="str">
        <f t="shared" si="13"/>
        <v>220</v>
      </c>
      <c r="AY50" s="42">
        <f t="shared" si="14"/>
        <v>104.48</v>
      </c>
      <c r="AZ50" s="35">
        <f t="shared" si="15"/>
        <v>52.95</v>
      </c>
      <c r="BA50" s="35">
        <f t="shared" si="16"/>
        <v>52.95</v>
      </c>
      <c r="BB50" s="35">
        <f t="shared" si="17"/>
        <v>52.95</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t="s">
        <v>3097</v>
      </c>
      <c r="D51" s="2220" t="s">
        <v>3290</v>
      </c>
      <c r="E51" s="35">
        <f t="shared" si="7"/>
        <v>103.18</v>
      </c>
      <c r="F51" s="36"/>
      <c r="G51" s="37">
        <f t="shared" si="8"/>
        <v>52.29</v>
      </c>
      <c r="H51" s="38">
        <f t="shared" si="9"/>
        <v>52.29</v>
      </c>
      <c r="I51" s="39">
        <v>52.29</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t="str">
        <f t="shared" si="13"/>
        <v>221</v>
      </c>
      <c r="AY51" s="42">
        <f t="shared" si="14"/>
        <v>103.18</v>
      </c>
      <c r="AZ51" s="35">
        <f t="shared" si="15"/>
        <v>52.29</v>
      </c>
      <c r="BA51" s="35">
        <f t="shared" si="16"/>
        <v>52.29</v>
      </c>
      <c r="BB51" s="35">
        <f t="shared" si="17"/>
        <v>52.29</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t="s">
        <v>3098</v>
      </c>
      <c r="D52" s="2220" t="s">
        <v>3290</v>
      </c>
      <c r="E52" s="35">
        <f t="shared" si="7"/>
        <v>127.53</v>
      </c>
      <c r="F52" s="36"/>
      <c r="G52" s="37">
        <f t="shared" si="8"/>
        <v>64.63</v>
      </c>
      <c r="H52" s="38">
        <f t="shared" si="9"/>
        <v>64.63</v>
      </c>
      <c r="I52" s="39">
        <v>64.63</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t="str">
        <f t="shared" si="13"/>
        <v>222</v>
      </c>
      <c r="AY52" s="42">
        <f t="shared" si="14"/>
        <v>127.53</v>
      </c>
      <c r="AZ52" s="35">
        <f t="shared" si="15"/>
        <v>64.63</v>
      </c>
      <c r="BA52" s="35">
        <f t="shared" si="16"/>
        <v>64.63</v>
      </c>
      <c r="BB52" s="35">
        <f t="shared" si="17"/>
        <v>64.63</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t="s">
        <v>3099</v>
      </c>
      <c r="D53" s="2220" t="s">
        <v>3290</v>
      </c>
      <c r="E53" s="35">
        <f t="shared" si="7"/>
        <v>100.38</v>
      </c>
      <c r="F53" s="36"/>
      <c r="G53" s="37">
        <f t="shared" si="8"/>
        <v>50.87</v>
      </c>
      <c r="H53" s="38">
        <f t="shared" si="9"/>
        <v>50.87</v>
      </c>
      <c r="I53" s="39">
        <v>50.87</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t="str">
        <f t="shared" si="13"/>
        <v>301</v>
      </c>
      <c r="AY53" s="42">
        <f t="shared" si="14"/>
        <v>100.38</v>
      </c>
      <c r="AZ53" s="35">
        <f t="shared" si="15"/>
        <v>50.87</v>
      </c>
      <c r="BA53" s="35">
        <f t="shared" si="16"/>
        <v>50.87</v>
      </c>
      <c r="BB53" s="35">
        <f t="shared" si="17"/>
        <v>50.87</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t="s">
        <v>3100</v>
      </c>
      <c r="D54" s="2220" t="s">
        <v>3290</v>
      </c>
      <c r="E54" s="35">
        <f t="shared" si="7"/>
        <v>106.57</v>
      </c>
      <c r="F54" s="36"/>
      <c r="G54" s="37">
        <f t="shared" si="8"/>
        <v>54.01</v>
      </c>
      <c r="H54" s="38">
        <f t="shared" si="9"/>
        <v>54.01</v>
      </c>
      <c r="I54" s="39">
        <v>54.01</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t="str">
        <f t="shared" si="13"/>
        <v>302</v>
      </c>
      <c r="AY54" s="42">
        <f t="shared" si="14"/>
        <v>106.57</v>
      </c>
      <c r="AZ54" s="35">
        <f t="shared" si="15"/>
        <v>54.01</v>
      </c>
      <c r="BA54" s="35">
        <f t="shared" si="16"/>
        <v>54.01</v>
      </c>
      <c r="BB54" s="35">
        <f t="shared" si="17"/>
        <v>54.01</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t="s">
        <v>3101</v>
      </c>
      <c r="D55" s="2220" t="s">
        <v>3290</v>
      </c>
      <c r="E55" s="35">
        <f t="shared" si="7"/>
        <v>102.69</v>
      </c>
      <c r="F55" s="36"/>
      <c r="G55" s="37">
        <f t="shared" si="8"/>
        <v>52.04</v>
      </c>
      <c r="H55" s="38">
        <f t="shared" si="9"/>
        <v>52.04</v>
      </c>
      <c r="I55" s="39">
        <v>52.04</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t="str">
        <f t="shared" si="13"/>
        <v>303</v>
      </c>
      <c r="AY55" s="42">
        <f t="shared" si="14"/>
        <v>102.69</v>
      </c>
      <c r="AZ55" s="35">
        <f t="shared" si="15"/>
        <v>52.04</v>
      </c>
      <c r="BA55" s="35">
        <f t="shared" si="16"/>
        <v>52.04</v>
      </c>
      <c r="BB55" s="35">
        <f t="shared" si="17"/>
        <v>52.04</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t="s">
        <v>3102</v>
      </c>
      <c r="D56" s="2220" t="s">
        <v>3290</v>
      </c>
      <c r="E56" s="35">
        <f t="shared" si="7"/>
        <v>140.24</v>
      </c>
      <c r="F56" s="36"/>
      <c r="G56" s="37">
        <f t="shared" si="8"/>
        <v>71.069999999999993</v>
      </c>
      <c r="H56" s="38">
        <f t="shared" si="9"/>
        <v>71.069999999999993</v>
      </c>
      <c r="I56" s="39">
        <v>71.069999999999993</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t="str">
        <f t="shared" si="13"/>
        <v>304</v>
      </c>
      <c r="AY56" s="42">
        <f t="shared" si="14"/>
        <v>140.24</v>
      </c>
      <c r="AZ56" s="35">
        <f t="shared" si="15"/>
        <v>71.069999999999993</v>
      </c>
      <c r="BA56" s="35">
        <f t="shared" si="16"/>
        <v>71.069999999999993</v>
      </c>
      <c r="BB56" s="35">
        <f t="shared" si="17"/>
        <v>71.069999999999993</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t="s">
        <v>3103</v>
      </c>
      <c r="D57" s="2220" t="s">
        <v>3290</v>
      </c>
      <c r="E57" s="35">
        <f t="shared" si="7"/>
        <v>141.07</v>
      </c>
      <c r="F57" s="36"/>
      <c r="G57" s="37">
        <f t="shared" si="8"/>
        <v>71.489999999999995</v>
      </c>
      <c r="H57" s="38">
        <f t="shared" si="9"/>
        <v>71.489999999999995</v>
      </c>
      <c r="I57" s="39">
        <v>71.489999999999995</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t="str">
        <f t="shared" si="13"/>
        <v>305</v>
      </c>
      <c r="AY57" s="42">
        <f t="shared" si="14"/>
        <v>141.07</v>
      </c>
      <c r="AZ57" s="35">
        <f t="shared" si="15"/>
        <v>71.489999999999995</v>
      </c>
      <c r="BA57" s="35">
        <f t="shared" si="16"/>
        <v>71.489999999999995</v>
      </c>
      <c r="BB57" s="35">
        <f t="shared" si="17"/>
        <v>71.489999999999995</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t="s">
        <v>3104</v>
      </c>
      <c r="D58" s="2220" t="s">
        <v>3290</v>
      </c>
      <c r="E58" s="35">
        <f t="shared" si="7"/>
        <v>103.06</v>
      </c>
      <c r="F58" s="36"/>
      <c r="G58" s="37">
        <f t="shared" si="8"/>
        <v>52.23</v>
      </c>
      <c r="H58" s="38">
        <f t="shared" si="9"/>
        <v>52.23</v>
      </c>
      <c r="I58" s="39">
        <v>52.23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t="str">
        <f t="shared" si="13"/>
        <v>306</v>
      </c>
      <c r="AY58" s="42">
        <f t="shared" si="14"/>
        <v>103.06</v>
      </c>
      <c r="AZ58" s="35">
        <f t="shared" si="15"/>
        <v>52.23</v>
      </c>
      <c r="BA58" s="35">
        <f t="shared" si="16"/>
        <v>52.23</v>
      </c>
      <c r="BB58" s="35">
        <f t="shared" si="17"/>
        <v>52.23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t="s">
        <v>3105</v>
      </c>
      <c r="D59" s="2220" t="s">
        <v>3290</v>
      </c>
      <c r="E59" s="35">
        <f t="shared" si="7"/>
        <v>103.2</v>
      </c>
      <c r="F59" s="36"/>
      <c r="G59" s="37">
        <f t="shared" si="8"/>
        <v>52.3</v>
      </c>
      <c r="H59" s="38">
        <f t="shared" si="9"/>
        <v>52.3</v>
      </c>
      <c r="I59" s="39">
        <v>52.3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t="str">
        <f t="shared" si="13"/>
        <v>307</v>
      </c>
      <c r="AY59" s="42">
        <f t="shared" si="14"/>
        <v>103.2</v>
      </c>
      <c r="AZ59" s="35">
        <f t="shared" si="15"/>
        <v>52.3</v>
      </c>
      <c r="BA59" s="35">
        <f t="shared" si="16"/>
        <v>52.3</v>
      </c>
      <c r="BB59" s="35">
        <f t="shared" si="17"/>
        <v>52.3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t="s">
        <v>3106</v>
      </c>
      <c r="D60" s="2220" t="s">
        <v>3290</v>
      </c>
      <c r="E60" s="35">
        <f t="shared" si="7"/>
        <v>103.14</v>
      </c>
      <c r="F60" s="36"/>
      <c r="G60" s="37">
        <f t="shared" si="8"/>
        <v>52.27</v>
      </c>
      <c r="H60" s="38">
        <f t="shared" si="9"/>
        <v>52.27</v>
      </c>
      <c r="I60" s="39">
        <v>52.27</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t="str">
        <f t="shared" si="13"/>
        <v>308</v>
      </c>
      <c r="AY60" s="42">
        <f t="shared" si="14"/>
        <v>103.14</v>
      </c>
      <c r="AZ60" s="35">
        <f t="shared" si="15"/>
        <v>52.27</v>
      </c>
      <c r="BA60" s="35">
        <f t="shared" si="16"/>
        <v>52.27</v>
      </c>
      <c r="BB60" s="35">
        <f t="shared" si="17"/>
        <v>52.27</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t="s">
        <v>3107</v>
      </c>
      <c r="D61" s="2220" t="s">
        <v>3290</v>
      </c>
      <c r="E61" s="35">
        <f t="shared" si="7"/>
        <v>104.46</v>
      </c>
      <c r="F61" s="36"/>
      <c r="G61" s="37">
        <f t="shared" si="8"/>
        <v>52.94</v>
      </c>
      <c r="H61" s="38">
        <f t="shared" si="9"/>
        <v>52.94</v>
      </c>
      <c r="I61" s="39">
        <v>52.94</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t="str">
        <f t="shared" si="13"/>
        <v>309</v>
      </c>
      <c r="AY61" s="42">
        <f t="shared" si="14"/>
        <v>104.46</v>
      </c>
      <c r="AZ61" s="35">
        <f t="shared" si="15"/>
        <v>52.94</v>
      </c>
      <c r="BA61" s="35">
        <f t="shared" si="16"/>
        <v>52.94</v>
      </c>
      <c r="BB61" s="35">
        <f t="shared" si="17"/>
        <v>52.94</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t="s">
        <v>3108</v>
      </c>
      <c r="D62" s="2220" t="s">
        <v>3290</v>
      </c>
      <c r="E62" s="35">
        <f t="shared" si="7"/>
        <v>120.74</v>
      </c>
      <c r="F62" s="36"/>
      <c r="G62" s="37">
        <f t="shared" si="8"/>
        <v>61.19</v>
      </c>
      <c r="H62" s="38">
        <f t="shared" si="9"/>
        <v>61.19</v>
      </c>
      <c r="I62" s="39">
        <v>61.19</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t="str">
        <f t="shared" si="13"/>
        <v>310</v>
      </c>
      <c r="AY62" s="42">
        <f t="shared" si="14"/>
        <v>120.74</v>
      </c>
      <c r="AZ62" s="35">
        <f t="shared" si="15"/>
        <v>61.19</v>
      </c>
      <c r="BA62" s="35">
        <f t="shared" si="16"/>
        <v>61.19</v>
      </c>
      <c r="BB62" s="35">
        <f t="shared" si="17"/>
        <v>61.19</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t="s">
        <v>3109</v>
      </c>
      <c r="D63" s="2220" t="s">
        <v>3290</v>
      </c>
      <c r="E63" s="35">
        <f t="shared" si="7"/>
        <v>129.76</v>
      </c>
      <c r="F63" s="36"/>
      <c r="G63" s="37">
        <f t="shared" si="8"/>
        <v>65.760000000000005</v>
      </c>
      <c r="H63" s="38">
        <f t="shared" si="9"/>
        <v>65.760000000000005</v>
      </c>
      <c r="I63" s="39">
        <v>65.760000000000005</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t="str">
        <f t="shared" si="13"/>
        <v>311</v>
      </c>
      <c r="AY63" s="42">
        <f t="shared" si="14"/>
        <v>129.76</v>
      </c>
      <c r="AZ63" s="35">
        <f t="shared" si="15"/>
        <v>65.760000000000005</v>
      </c>
      <c r="BA63" s="35">
        <f t="shared" si="16"/>
        <v>65.760000000000005</v>
      </c>
      <c r="BB63" s="35">
        <f t="shared" si="17"/>
        <v>65.760000000000005</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t="s">
        <v>3110</v>
      </c>
      <c r="D64" s="2220" t="s">
        <v>3290</v>
      </c>
      <c r="E64" s="35">
        <f t="shared" si="7"/>
        <v>119.56</v>
      </c>
      <c r="F64" s="36"/>
      <c r="G64" s="37">
        <f t="shared" si="8"/>
        <v>60.59</v>
      </c>
      <c r="H64" s="38">
        <f t="shared" si="9"/>
        <v>60.59</v>
      </c>
      <c r="I64" s="39">
        <v>60.59</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t="str">
        <f t="shared" si="13"/>
        <v>312</v>
      </c>
      <c r="AY64" s="42">
        <f t="shared" si="14"/>
        <v>119.56</v>
      </c>
      <c r="AZ64" s="35">
        <f t="shared" si="15"/>
        <v>60.59</v>
      </c>
      <c r="BA64" s="35">
        <f t="shared" si="16"/>
        <v>60.59</v>
      </c>
      <c r="BB64" s="35">
        <f t="shared" si="17"/>
        <v>60.59</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t="s">
        <v>3111</v>
      </c>
      <c r="D65" s="2220" t="s">
        <v>3290</v>
      </c>
      <c r="E65" s="35">
        <f t="shared" si="7"/>
        <v>104.6</v>
      </c>
      <c r="F65" s="36"/>
      <c r="G65" s="37">
        <f t="shared" si="8"/>
        <v>53.01</v>
      </c>
      <c r="H65" s="38">
        <f t="shared" si="9"/>
        <v>53.01</v>
      </c>
      <c r="I65" s="39">
        <v>53.01</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t="str">
        <f t="shared" si="13"/>
        <v>313</v>
      </c>
      <c r="AY65" s="42">
        <f t="shared" si="14"/>
        <v>104.6</v>
      </c>
      <c r="AZ65" s="35">
        <f t="shared" si="15"/>
        <v>53.01</v>
      </c>
      <c r="BA65" s="35">
        <f t="shared" si="16"/>
        <v>53.01</v>
      </c>
      <c r="BB65" s="35">
        <f t="shared" si="17"/>
        <v>53.01</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t="s">
        <v>3112</v>
      </c>
      <c r="D66" s="2220" t="s">
        <v>3290</v>
      </c>
      <c r="E66" s="35">
        <f t="shared" si="7"/>
        <v>104.48</v>
      </c>
      <c r="F66" s="36"/>
      <c r="G66" s="37">
        <f t="shared" si="8"/>
        <v>52.95</v>
      </c>
      <c r="H66" s="38">
        <f t="shared" si="9"/>
        <v>52.95</v>
      </c>
      <c r="I66" s="39">
        <v>52.95</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t="str">
        <f t="shared" si="13"/>
        <v>314</v>
      </c>
      <c r="AY66" s="42">
        <f t="shared" si="14"/>
        <v>104.48</v>
      </c>
      <c r="AZ66" s="35">
        <f t="shared" si="15"/>
        <v>52.95</v>
      </c>
      <c r="BA66" s="35">
        <f t="shared" si="16"/>
        <v>52.95</v>
      </c>
      <c r="BB66" s="35">
        <f t="shared" si="17"/>
        <v>52.95</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t="s">
        <v>3113</v>
      </c>
      <c r="D67" s="2220" t="s">
        <v>3290</v>
      </c>
      <c r="E67" s="35">
        <f t="shared" si="7"/>
        <v>104.48</v>
      </c>
      <c r="F67" s="36"/>
      <c r="G67" s="37">
        <f t="shared" si="8"/>
        <v>52.95</v>
      </c>
      <c r="H67" s="38">
        <f t="shared" si="9"/>
        <v>52.95</v>
      </c>
      <c r="I67" s="39">
        <v>52.95</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t="str">
        <f t="shared" si="13"/>
        <v>315</v>
      </c>
      <c r="AY67" s="42">
        <f t="shared" si="14"/>
        <v>104.48</v>
      </c>
      <c r="AZ67" s="35">
        <f t="shared" si="15"/>
        <v>52.95</v>
      </c>
      <c r="BA67" s="35">
        <f t="shared" si="16"/>
        <v>52.95</v>
      </c>
      <c r="BB67" s="35">
        <f t="shared" si="17"/>
        <v>52.95</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t="s">
        <v>3114</v>
      </c>
      <c r="D68" s="2220" t="s">
        <v>3290</v>
      </c>
      <c r="E68" s="35">
        <f t="shared" si="7"/>
        <v>104.42</v>
      </c>
      <c r="F68" s="36"/>
      <c r="G68" s="37">
        <f t="shared" si="8"/>
        <v>52.92</v>
      </c>
      <c r="H68" s="38">
        <f t="shared" si="9"/>
        <v>52.92</v>
      </c>
      <c r="I68" s="39">
        <v>52.92</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t="str">
        <f t="shared" si="13"/>
        <v>316</v>
      </c>
      <c r="AY68" s="42">
        <f t="shared" si="14"/>
        <v>104.42</v>
      </c>
      <c r="AZ68" s="35">
        <f t="shared" si="15"/>
        <v>52.92</v>
      </c>
      <c r="BA68" s="35">
        <f t="shared" si="16"/>
        <v>52.92</v>
      </c>
      <c r="BB68" s="35">
        <f t="shared" si="17"/>
        <v>52.92</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t="s">
        <v>3115</v>
      </c>
      <c r="D69" s="2220" t="s">
        <v>3290</v>
      </c>
      <c r="E69" s="35">
        <f t="shared" si="7"/>
        <v>143.79</v>
      </c>
      <c r="F69" s="36"/>
      <c r="G69" s="37">
        <f t="shared" si="8"/>
        <v>72.87</v>
      </c>
      <c r="H69" s="38">
        <f t="shared" si="9"/>
        <v>72.87</v>
      </c>
      <c r="I69" s="39">
        <v>72.87</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t="str">
        <f t="shared" si="13"/>
        <v>317</v>
      </c>
      <c r="AY69" s="42">
        <f t="shared" si="14"/>
        <v>143.79</v>
      </c>
      <c r="AZ69" s="35">
        <f t="shared" si="15"/>
        <v>72.87</v>
      </c>
      <c r="BA69" s="35">
        <f t="shared" si="16"/>
        <v>72.87</v>
      </c>
      <c r="BB69" s="35">
        <f t="shared" si="17"/>
        <v>72.87</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t="s">
        <v>3116</v>
      </c>
      <c r="D70" s="2220" t="s">
        <v>3290</v>
      </c>
      <c r="E70" s="35">
        <f t="shared" si="7"/>
        <v>142.55000000000001</v>
      </c>
      <c r="F70" s="36"/>
      <c r="G70" s="37">
        <f t="shared" si="8"/>
        <v>72.239999999999995</v>
      </c>
      <c r="H70" s="38">
        <f t="shared" si="9"/>
        <v>72.239999999999995</v>
      </c>
      <c r="I70" s="39">
        <v>72.239999999999995</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t="str">
        <f t="shared" si="13"/>
        <v>318</v>
      </c>
      <c r="AY70" s="42">
        <f t="shared" si="14"/>
        <v>142.55000000000001</v>
      </c>
      <c r="AZ70" s="35">
        <f t="shared" si="15"/>
        <v>72.239999999999995</v>
      </c>
      <c r="BA70" s="35">
        <f t="shared" si="16"/>
        <v>72.239999999999995</v>
      </c>
      <c r="BB70" s="35">
        <f t="shared" si="17"/>
        <v>72.239999999999995</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t="s">
        <v>3117</v>
      </c>
      <c r="D71" s="2220" t="s">
        <v>3290</v>
      </c>
      <c r="E71" s="35">
        <f t="shared" si="7"/>
        <v>104.42</v>
      </c>
      <c r="F71" s="36"/>
      <c r="G71" s="37">
        <f t="shared" si="8"/>
        <v>52.92</v>
      </c>
      <c r="H71" s="38">
        <f t="shared" si="9"/>
        <v>52.92</v>
      </c>
      <c r="I71" s="39">
        <v>52.92</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t="str">
        <f t="shared" si="13"/>
        <v>319</v>
      </c>
      <c r="AY71" s="42">
        <f t="shared" si="14"/>
        <v>104.42</v>
      </c>
      <c r="AZ71" s="35">
        <f t="shared" si="15"/>
        <v>52.92</v>
      </c>
      <c r="BA71" s="35">
        <f t="shared" si="16"/>
        <v>52.92</v>
      </c>
      <c r="BB71" s="35">
        <f t="shared" si="17"/>
        <v>52.92</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t="s">
        <v>3118</v>
      </c>
      <c r="D72" s="2220" t="s">
        <v>3290</v>
      </c>
      <c r="E72" s="35">
        <f t="shared" si="7"/>
        <v>104.48</v>
      </c>
      <c r="F72" s="36"/>
      <c r="G72" s="37">
        <f t="shared" si="8"/>
        <v>52.95</v>
      </c>
      <c r="H72" s="38">
        <f t="shared" si="9"/>
        <v>52.95</v>
      </c>
      <c r="I72" s="39">
        <v>52.95</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t="str">
        <f t="shared" si="13"/>
        <v>320</v>
      </c>
      <c r="AY72" s="42">
        <f t="shared" si="14"/>
        <v>104.48</v>
      </c>
      <c r="AZ72" s="35">
        <f t="shared" si="15"/>
        <v>52.95</v>
      </c>
      <c r="BA72" s="35">
        <f t="shared" si="16"/>
        <v>52.95</v>
      </c>
      <c r="BB72" s="35">
        <f t="shared" si="17"/>
        <v>52.95</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t="s">
        <v>3119</v>
      </c>
      <c r="D73" s="2220" t="s">
        <v>3290</v>
      </c>
      <c r="E73" s="35">
        <f t="shared" si="7"/>
        <v>103.18</v>
      </c>
      <c r="F73" s="36"/>
      <c r="G73" s="37">
        <f t="shared" si="8"/>
        <v>52.29</v>
      </c>
      <c r="H73" s="38">
        <f t="shared" si="9"/>
        <v>52.29</v>
      </c>
      <c r="I73" s="39">
        <v>52.29</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t="str">
        <f t="shared" si="13"/>
        <v>321</v>
      </c>
      <c r="AY73" s="42">
        <f t="shared" si="14"/>
        <v>103.18</v>
      </c>
      <c r="AZ73" s="35">
        <f t="shared" si="15"/>
        <v>52.29</v>
      </c>
      <c r="BA73" s="35">
        <f t="shared" si="16"/>
        <v>52.29</v>
      </c>
      <c r="BB73" s="35">
        <f t="shared" si="17"/>
        <v>52.29</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t="s">
        <v>3120</v>
      </c>
      <c r="D74" s="2220" t="s">
        <v>3290</v>
      </c>
      <c r="E74" s="35">
        <f t="shared" si="7"/>
        <v>127.53</v>
      </c>
      <c r="F74" s="36"/>
      <c r="G74" s="37">
        <f t="shared" si="8"/>
        <v>64.63</v>
      </c>
      <c r="H74" s="38">
        <f t="shared" si="9"/>
        <v>64.63</v>
      </c>
      <c r="I74" s="39">
        <v>64.63</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t="str">
        <f t="shared" si="13"/>
        <v>322</v>
      </c>
      <c r="AY74" s="42">
        <f t="shared" si="14"/>
        <v>127.53</v>
      </c>
      <c r="AZ74" s="35">
        <f t="shared" si="15"/>
        <v>64.63</v>
      </c>
      <c r="BA74" s="35">
        <f t="shared" si="16"/>
        <v>64.63</v>
      </c>
      <c r="BB74" s="35">
        <f t="shared" si="17"/>
        <v>64.63</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t="s">
        <v>3121</v>
      </c>
      <c r="D75" s="2220" t="s">
        <v>3290</v>
      </c>
      <c r="E75" s="35">
        <f t="shared" si="7"/>
        <v>100.38</v>
      </c>
      <c r="F75" s="36"/>
      <c r="G75" s="37">
        <f t="shared" si="8"/>
        <v>50.87</v>
      </c>
      <c r="H75" s="38">
        <f t="shared" si="9"/>
        <v>50.87</v>
      </c>
      <c r="I75" s="39">
        <v>50.87</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t="str">
        <f t="shared" si="13"/>
        <v>401</v>
      </c>
      <c r="AY75" s="42">
        <f t="shared" si="14"/>
        <v>100.38</v>
      </c>
      <c r="AZ75" s="35">
        <f t="shared" si="15"/>
        <v>50.87</v>
      </c>
      <c r="BA75" s="35">
        <f t="shared" si="16"/>
        <v>50.87</v>
      </c>
      <c r="BB75" s="35">
        <f t="shared" si="17"/>
        <v>50.87</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t="s">
        <v>3122</v>
      </c>
      <c r="D76" s="2220" t="s">
        <v>3290</v>
      </c>
      <c r="E76" s="35">
        <f t="shared" si="7"/>
        <v>106.57</v>
      </c>
      <c r="F76" s="36"/>
      <c r="G76" s="37">
        <f t="shared" si="8"/>
        <v>54.01</v>
      </c>
      <c r="H76" s="38">
        <f t="shared" si="9"/>
        <v>54.01</v>
      </c>
      <c r="I76" s="39">
        <v>54.01</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t="str">
        <f t="shared" si="13"/>
        <v>402</v>
      </c>
      <c r="AY76" s="42">
        <f t="shared" si="14"/>
        <v>106.57</v>
      </c>
      <c r="AZ76" s="35">
        <f t="shared" si="15"/>
        <v>54.01</v>
      </c>
      <c r="BA76" s="35">
        <f t="shared" si="16"/>
        <v>54.01</v>
      </c>
      <c r="BB76" s="35">
        <f t="shared" si="17"/>
        <v>54.01</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t="s">
        <v>3123</v>
      </c>
      <c r="D77" s="2220" t="s">
        <v>3290</v>
      </c>
      <c r="E77" s="35">
        <f t="shared" si="7"/>
        <v>102.69</v>
      </c>
      <c r="F77" s="36"/>
      <c r="G77" s="37">
        <f t="shared" si="8"/>
        <v>52.04</v>
      </c>
      <c r="H77" s="38">
        <f t="shared" si="9"/>
        <v>52.04</v>
      </c>
      <c r="I77" s="39">
        <v>52.04</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t="str">
        <f t="shared" si="13"/>
        <v>403</v>
      </c>
      <c r="AY77" s="42">
        <f t="shared" si="14"/>
        <v>102.69</v>
      </c>
      <c r="AZ77" s="35">
        <f t="shared" si="15"/>
        <v>52.04</v>
      </c>
      <c r="BA77" s="35">
        <f t="shared" si="16"/>
        <v>52.04</v>
      </c>
      <c r="BB77" s="35">
        <f t="shared" si="17"/>
        <v>52.04</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t="s">
        <v>3124</v>
      </c>
      <c r="D78" s="2220" t="s">
        <v>3290</v>
      </c>
      <c r="E78" s="35">
        <f t="shared" si="7"/>
        <v>140.24</v>
      </c>
      <c r="F78" s="36"/>
      <c r="G78" s="37">
        <f t="shared" si="8"/>
        <v>71.069999999999993</v>
      </c>
      <c r="H78" s="38">
        <f t="shared" si="9"/>
        <v>71.069999999999993</v>
      </c>
      <c r="I78" s="39">
        <v>71.069999999999993</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t="str">
        <f t="shared" si="13"/>
        <v>404</v>
      </c>
      <c r="AY78" s="42">
        <f t="shared" si="14"/>
        <v>140.24</v>
      </c>
      <c r="AZ78" s="35">
        <f t="shared" si="15"/>
        <v>71.069999999999993</v>
      </c>
      <c r="BA78" s="35">
        <f t="shared" si="16"/>
        <v>71.069999999999993</v>
      </c>
      <c r="BB78" s="35">
        <f t="shared" si="17"/>
        <v>71.069999999999993</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t="s">
        <v>3125</v>
      </c>
      <c r="D79" s="2220" t="s">
        <v>3290</v>
      </c>
      <c r="E79" s="35">
        <f t="shared" si="7"/>
        <v>141.07</v>
      </c>
      <c r="F79" s="36"/>
      <c r="G79" s="37">
        <f t="shared" si="8"/>
        <v>71.489999999999995</v>
      </c>
      <c r="H79" s="38">
        <f t="shared" si="9"/>
        <v>71.489999999999995</v>
      </c>
      <c r="I79" s="39">
        <v>71.489999999999995</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t="str">
        <f t="shared" si="13"/>
        <v>405</v>
      </c>
      <c r="AY79" s="42">
        <f t="shared" si="14"/>
        <v>141.07</v>
      </c>
      <c r="AZ79" s="35">
        <f t="shared" si="15"/>
        <v>71.489999999999995</v>
      </c>
      <c r="BA79" s="35">
        <f t="shared" si="16"/>
        <v>71.489999999999995</v>
      </c>
      <c r="BB79" s="35">
        <f t="shared" si="17"/>
        <v>71.489999999999995</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t="s">
        <v>3126</v>
      </c>
      <c r="D80" s="2220" t="s">
        <v>3290</v>
      </c>
      <c r="E80" s="35">
        <f t="shared" si="7"/>
        <v>103.06</v>
      </c>
      <c r="F80" s="36"/>
      <c r="G80" s="37">
        <f t="shared" si="8"/>
        <v>52.23</v>
      </c>
      <c r="H80" s="38">
        <f t="shared" si="9"/>
        <v>52.23</v>
      </c>
      <c r="I80" s="39">
        <v>52.23</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t="str">
        <f t="shared" si="13"/>
        <v>406</v>
      </c>
      <c r="AY80" s="42">
        <f t="shared" si="14"/>
        <v>103.06</v>
      </c>
      <c r="AZ80" s="35">
        <f t="shared" si="15"/>
        <v>52.23</v>
      </c>
      <c r="BA80" s="35">
        <f t="shared" si="16"/>
        <v>52.23</v>
      </c>
      <c r="BB80" s="35">
        <f t="shared" si="17"/>
        <v>52.23</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t="s">
        <v>3127</v>
      </c>
      <c r="D81" s="2220" t="s">
        <v>3290</v>
      </c>
      <c r="E81" s="35">
        <f t="shared" si="7"/>
        <v>103.2</v>
      </c>
      <c r="F81" s="36"/>
      <c r="G81" s="37">
        <f t="shared" si="8"/>
        <v>52.3</v>
      </c>
      <c r="H81" s="38">
        <f t="shared" si="9"/>
        <v>52.3</v>
      </c>
      <c r="I81" s="39">
        <v>52.3</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t="str">
        <f t="shared" si="13"/>
        <v>407</v>
      </c>
      <c r="AY81" s="42">
        <f t="shared" si="14"/>
        <v>103.2</v>
      </c>
      <c r="AZ81" s="35">
        <f t="shared" si="15"/>
        <v>52.3</v>
      </c>
      <c r="BA81" s="35">
        <f t="shared" si="16"/>
        <v>52.3</v>
      </c>
      <c r="BB81" s="35">
        <f t="shared" si="17"/>
        <v>52.3</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t="s">
        <v>3128</v>
      </c>
      <c r="D82" s="2220" t="s">
        <v>3290</v>
      </c>
      <c r="E82" s="35">
        <f t="shared" si="7"/>
        <v>103.14</v>
      </c>
      <c r="F82" s="36"/>
      <c r="G82" s="37">
        <f t="shared" si="8"/>
        <v>52.27</v>
      </c>
      <c r="H82" s="38">
        <f t="shared" si="9"/>
        <v>52.27</v>
      </c>
      <c r="I82" s="39">
        <v>52.27</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t="str">
        <f t="shared" si="13"/>
        <v>408</v>
      </c>
      <c r="AY82" s="42">
        <f t="shared" si="14"/>
        <v>103.14</v>
      </c>
      <c r="AZ82" s="35">
        <f t="shared" si="15"/>
        <v>52.27</v>
      </c>
      <c r="BA82" s="35">
        <f t="shared" si="16"/>
        <v>52.27</v>
      </c>
      <c r="BB82" s="35">
        <f t="shared" si="17"/>
        <v>52.27</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t="s">
        <v>3129</v>
      </c>
      <c r="D83" s="2220" t="s">
        <v>3290</v>
      </c>
      <c r="E83" s="35">
        <f t="shared" si="7"/>
        <v>104.46</v>
      </c>
      <c r="F83" s="36"/>
      <c r="G83" s="37">
        <f t="shared" si="8"/>
        <v>52.94</v>
      </c>
      <c r="H83" s="38">
        <f t="shared" si="9"/>
        <v>52.94</v>
      </c>
      <c r="I83" s="39">
        <v>52.94</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t="str">
        <f t="shared" si="13"/>
        <v>409</v>
      </c>
      <c r="AY83" s="42">
        <f t="shared" si="14"/>
        <v>104.46</v>
      </c>
      <c r="AZ83" s="35">
        <f t="shared" si="15"/>
        <v>52.94</v>
      </c>
      <c r="BA83" s="35">
        <f t="shared" si="16"/>
        <v>52.94</v>
      </c>
      <c r="BB83" s="35">
        <f t="shared" si="17"/>
        <v>52.94</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t="s">
        <v>3130</v>
      </c>
      <c r="D84" s="2220" t="s">
        <v>3290</v>
      </c>
      <c r="E84" s="35">
        <f t="shared" si="7"/>
        <v>120.74</v>
      </c>
      <c r="F84" s="36"/>
      <c r="G84" s="37">
        <f t="shared" si="8"/>
        <v>61.19</v>
      </c>
      <c r="H84" s="38">
        <f t="shared" si="9"/>
        <v>61.19</v>
      </c>
      <c r="I84" s="39">
        <v>61.19</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t="str">
        <f t="shared" si="13"/>
        <v>410</v>
      </c>
      <c r="AY84" s="42">
        <f t="shared" si="14"/>
        <v>120.74</v>
      </c>
      <c r="AZ84" s="35">
        <f t="shared" si="15"/>
        <v>61.19</v>
      </c>
      <c r="BA84" s="35">
        <f t="shared" si="16"/>
        <v>61.19</v>
      </c>
      <c r="BB84" s="35">
        <f t="shared" si="17"/>
        <v>61.19</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t="s">
        <v>3131</v>
      </c>
      <c r="D85" s="2220" t="s">
        <v>3290</v>
      </c>
      <c r="E85" s="35">
        <f t="shared" si="7"/>
        <v>129.76</v>
      </c>
      <c r="F85" s="36"/>
      <c r="G85" s="37">
        <f t="shared" si="8"/>
        <v>65.760000000000005</v>
      </c>
      <c r="H85" s="38">
        <f t="shared" si="9"/>
        <v>65.760000000000005</v>
      </c>
      <c r="I85" s="39">
        <v>65.760000000000005</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t="str">
        <f t="shared" si="13"/>
        <v>411</v>
      </c>
      <c r="AY85" s="42">
        <f t="shared" si="14"/>
        <v>129.76</v>
      </c>
      <c r="AZ85" s="35">
        <f t="shared" si="15"/>
        <v>65.760000000000005</v>
      </c>
      <c r="BA85" s="35">
        <f t="shared" si="16"/>
        <v>65.760000000000005</v>
      </c>
      <c r="BB85" s="35">
        <f t="shared" si="17"/>
        <v>65.760000000000005</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t="s">
        <v>3132</v>
      </c>
      <c r="D86" s="2220" t="s">
        <v>3290</v>
      </c>
      <c r="E86" s="35">
        <f t="shared" si="7"/>
        <v>119.56</v>
      </c>
      <c r="F86" s="36"/>
      <c r="G86" s="37">
        <f t="shared" si="8"/>
        <v>60.59</v>
      </c>
      <c r="H86" s="38">
        <f t="shared" si="9"/>
        <v>60.59</v>
      </c>
      <c r="I86" s="39">
        <v>60.59</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t="str">
        <f t="shared" si="13"/>
        <v>412</v>
      </c>
      <c r="AY86" s="42">
        <f t="shared" si="14"/>
        <v>119.56</v>
      </c>
      <c r="AZ86" s="35">
        <f t="shared" si="15"/>
        <v>60.59</v>
      </c>
      <c r="BA86" s="35">
        <f t="shared" si="16"/>
        <v>60.59</v>
      </c>
      <c r="BB86" s="35">
        <f t="shared" si="17"/>
        <v>60.59</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t="s">
        <v>3133</v>
      </c>
      <c r="D87" s="2220" t="s">
        <v>3290</v>
      </c>
      <c r="E87" s="35">
        <f t="shared" si="7"/>
        <v>104.6</v>
      </c>
      <c r="F87" s="36"/>
      <c r="G87" s="37">
        <f t="shared" si="8"/>
        <v>53.01</v>
      </c>
      <c r="H87" s="38">
        <f t="shared" si="9"/>
        <v>53.01</v>
      </c>
      <c r="I87" s="39">
        <v>53.01</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t="str">
        <f t="shared" si="13"/>
        <v>413</v>
      </c>
      <c r="AY87" s="42">
        <f t="shared" si="14"/>
        <v>104.6</v>
      </c>
      <c r="AZ87" s="35">
        <f t="shared" si="15"/>
        <v>53.01</v>
      </c>
      <c r="BA87" s="35">
        <f t="shared" si="16"/>
        <v>53.01</v>
      </c>
      <c r="BB87" s="35">
        <f t="shared" si="17"/>
        <v>53.01</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t="s">
        <v>3134</v>
      </c>
      <c r="D88" s="2220" t="s">
        <v>3290</v>
      </c>
      <c r="E88" s="35">
        <f t="shared" si="7"/>
        <v>104.48</v>
      </c>
      <c r="F88" s="36"/>
      <c r="G88" s="37">
        <f t="shared" si="8"/>
        <v>52.95</v>
      </c>
      <c r="H88" s="38">
        <f t="shared" si="9"/>
        <v>52.95</v>
      </c>
      <c r="I88" s="39">
        <v>52.95</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t="str">
        <f t="shared" si="13"/>
        <v>414</v>
      </c>
      <c r="AY88" s="42">
        <f t="shared" si="14"/>
        <v>104.48</v>
      </c>
      <c r="AZ88" s="35">
        <f t="shared" si="15"/>
        <v>52.95</v>
      </c>
      <c r="BA88" s="35">
        <f t="shared" si="16"/>
        <v>52.95</v>
      </c>
      <c r="BB88" s="35">
        <f t="shared" si="17"/>
        <v>52.95</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t="s">
        <v>3135</v>
      </c>
      <c r="D89" s="2220" t="s">
        <v>3290</v>
      </c>
      <c r="E89" s="35">
        <f t="shared" si="7"/>
        <v>104.48</v>
      </c>
      <c r="F89" s="36"/>
      <c r="G89" s="37">
        <f t="shared" si="8"/>
        <v>52.95</v>
      </c>
      <c r="H89" s="38">
        <f t="shared" si="9"/>
        <v>52.95</v>
      </c>
      <c r="I89" s="39">
        <v>52.95</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t="str">
        <f t="shared" si="13"/>
        <v>415</v>
      </c>
      <c r="AY89" s="42">
        <f t="shared" si="14"/>
        <v>104.48</v>
      </c>
      <c r="AZ89" s="35">
        <f t="shared" si="15"/>
        <v>52.95</v>
      </c>
      <c r="BA89" s="35">
        <f t="shared" si="16"/>
        <v>52.95</v>
      </c>
      <c r="BB89" s="35">
        <f t="shared" si="17"/>
        <v>52.95</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t="s">
        <v>3136</v>
      </c>
      <c r="D90" s="2220" t="s">
        <v>3290</v>
      </c>
      <c r="E90" s="35">
        <f t="shared" si="7"/>
        <v>104.42</v>
      </c>
      <c r="F90" s="36"/>
      <c r="G90" s="37">
        <f t="shared" si="8"/>
        <v>52.92</v>
      </c>
      <c r="H90" s="38">
        <f t="shared" si="9"/>
        <v>52.92</v>
      </c>
      <c r="I90" s="39">
        <v>52.92</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t="str">
        <f t="shared" si="13"/>
        <v>416</v>
      </c>
      <c r="AY90" s="42">
        <f t="shared" si="14"/>
        <v>104.42</v>
      </c>
      <c r="AZ90" s="35">
        <f t="shared" si="15"/>
        <v>52.92</v>
      </c>
      <c r="BA90" s="35">
        <f t="shared" si="16"/>
        <v>52.92</v>
      </c>
      <c r="BB90" s="35">
        <f t="shared" si="17"/>
        <v>52.92</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t="s">
        <v>3137</v>
      </c>
      <c r="D91" s="2220" t="s">
        <v>3290</v>
      </c>
      <c r="E91" s="35">
        <f t="shared" si="7"/>
        <v>143.79</v>
      </c>
      <c r="F91" s="36"/>
      <c r="G91" s="37">
        <f t="shared" si="8"/>
        <v>72.87</v>
      </c>
      <c r="H91" s="38">
        <f t="shared" si="9"/>
        <v>72.87</v>
      </c>
      <c r="I91" s="39">
        <v>72.87</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t="str">
        <f t="shared" si="13"/>
        <v>417</v>
      </c>
      <c r="AY91" s="42">
        <f t="shared" si="14"/>
        <v>143.79</v>
      </c>
      <c r="AZ91" s="35">
        <f t="shared" si="15"/>
        <v>72.87</v>
      </c>
      <c r="BA91" s="35">
        <f t="shared" si="16"/>
        <v>72.87</v>
      </c>
      <c r="BB91" s="35">
        <f t="shared" si="17"/>
        <v>72.87</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t="s">
        <v>3138</v>
      </c>
      <c r="D92" s="2220" t="s">
        <v>3290</v>
      </c>
      <c r="E92" s="35">
        <f t="shared" si="7"/>
        <v>142.55000000000001</v>
      </c>
      <c r="F92" s="36"/>
      <c r="G92" s="37">
        <f t="shared" si="8"/>
        <v>72.239999999999995</v>
      </c>
      <c r="H92" s="38">
        <f t="shared" si="9"/>
        <v>72.239999999999995</v>
      </c>
      <c r="I92" s="39">
        <v>72.239999999999995</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t="str">
        <f t="shared" si="13"/>
        <v>418</v>
      </c>
      <c r="AY92" s="42">
        <f t="shared" si="14"/>
        <v>142.55000000000001</v>
      </c>
      <c r="AZ92" s="35">
        <f t="shared" si="15"/>
        <v>72.239999999999995</v>
      </c>
      <c r="BA92" s="35">
        <f t="shared" si="16"/>
        <v>72.239999999999995</v>
      </c>
      <c r="BB92" s="35">
        <f t="shared" si="17"/>
        <v>72.239999999999995</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t="s">
        <v>3139</v>
      </c>
      <c r="D93" s="2220" t="s">
        <v>3290</v>
      </c>
      <c r="E93" s="35">
        <f t="shared" si="7"/>
        <v>104.42</v>
      </c>
      <c r="F93" s="36"/>
      <c r="G93" s="37">
        <f t="shared" si="8"/>
        <v>52.92</v>
      </c>
      <c r="H93" s="38">
        <f t="shared" si="9"/>
        <v>52.92</v>
      </c>
      <c r="I93" s="39">
        <v>52.92</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t="str">
        <f t="shared" si="13"/>
        <v>419</v>
      </c>
      <c r="AY93" s="42">
        <f t="shared" si="14"/>
        <v>104.42</v>
      </c>
      <c r="AZ93" s="35">
        <f t="shared" si="15"/>
        <v>52.92</v>
      </c>
      <c r="BA93" s="35">
        <f t="shared" si="16"/>
        <v>52.92</v>
      </c>
      <c r="BB93" s="35">
        <f t="shared" si="17"/>
        <v>52.92</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t="s">
        <v>3140</v>
      </c>
      <c r="D94" s="2220" t="s">
        <v>3290</v>
      </c>
      <c r="E94" s="35">
        <f t="shared" si="7"/>
        <v>104.48</v>
      </c>
      <c r="F94" s="36"/>
      <c r="G94" s="37">
        <f t="shared" si="8"/>
        <v>52.95</v>
      </c>
      <c r="H94" s="38">
        <f t="shared" si="9"/>
        <v>52.95</v>
      </c>
      <c r="I94" s="39">
        <v>52.95</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t="str">
        <f t="shared" si="13"/>
        <v>420</v>
      </c>
      <c r="AY94" s="42">
        <f t="shared" si="14"/>
        <v>104.48</v>
      </c>
      <c r="AZ94" s="35">
        <f t="shared" si="15"/>
        <v>52.95</v>
      </c>
      <c r="BA94" s="35">
        <f t="shared" si="16"/>
        <v>52.95</v>
      </c>
      <c r="BB94" s="35">
        <f t="shared" si="17"/>
        <v>52.95</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t="s">
        <v>3141</v>
      </c>
      <c r="D95" s="2220" t="s">
        <v>3290</v>
      </c>
      <c r="E95" s="35">
        <f t="shared" si="7"/>
        <v>103.18</v>
      </c>
      <c r="F95" s="36"/>
      <c r="G95" s="37">
        <f t="shared" si="8"/>
        <v>52.29</v>
      </c>
      <c r="H95" s="38">
        <f t="shared" si="9"/>
        <v>52.29</v>
      </c>
      <c r="I95" s="39">
        <v>52.29</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t="str">
        <f t="shared" si="13"/>
        <v>421</v>
      </c>
      <c r="AY95" s="42">
        <f t="shared" si="14"/>
        <v>103.18</v>
      </c>
      <c r="AZ95" s="35">
        <f t="shared" si="15"/>
        <v>52.29</v>
      </c>
      <c r="BA95" s="35">
        <f t="shared" si="16"/>
        <v>52.29</v>
      </c>
      <c r="BB95" s="35">
        <f t="shared" si="17"/>
        <v>52.29</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t="s">
        <v>3142</v>
      </c>
      <c r="D96" s="2220" t="s">
        <v>3290</v>
      </c>
      <c r="E96" s="35">
        <f t="shared" si="7"/>
        <v>127.53</v>
      </c>
      <c r="F96" s="36"/>
      <c r="G96" s="37">
        <f t="shared" si="8"/>
        <v>64.63</v>
      </c>
      <c r="H96" s="38">
        <f t="shared" si="9"/>
        <v>64.63</v>
      </c>
      <c r="I96" s="39">
        <v>64.63</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t="str">
        <f t="shared" si="13"/>
        <v>422</v>
      </c>
      <c r="AY96" s="42">
        <f t="shared" si="14"/>
        <v>127.53</v>
      </c>
      <c r="AZ96" s="35">
        <f t="shared" si="15"/>
        <v>64.63</v>
      </c>
      <c r="BA96" s="35">
        <f t="shared" si="16"/>
        <v>64.63</v>
      </c>
      <c r="BB96" s="35">
        <f t="shared" si="17"/>
        <v>64.63</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t="s">
        <v>3143</v>
      </c>
      <c r="D97" s="2220" t="s">
        <v>3290</v>
      </c>
      <c r="E97" s="35">
        <f t="shared" si="7"/>
        <v>100.83</v>
      </c>
      <c r="F97" s="36"/>
      <c r="G97" s="37">
        <f t="shared" si="8"/>
        <v>51.1</v>
      </c>
      <c r="H97" s="38">
        <f t="shared" si="9"/>
        <v>51.1</v>
      </c>
      <c r="I97" s="39">
        <v>51.1</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t="str">
        <f t="shared" si="13"/>
        <v>501</v>
      </c>
      <c r="AY97" s="42">
        <f t="shared" si="14"/>
        <v>100.83</v>
      </c>
      <c r="AZ97" s="35">
        <f t="shared" si="15"/>
        <v>51.1</v>
      </c>
      <c r="BA97" s="35">
        <f t="shared" si="16"/>
        <v>51.1</v>
      </c>
      <c r="BB97" s="35">
        <f t="shared" si="17"/>
        <v>51.1</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t="s">
        <v>3144</v>
      </c>
      <c r="D98" s="2220" t="s">
        <v>3290</v>
      </c>
      <c r="E98" s="35">
        <f t="shared" si="7"/>
        <v>104.32</v>
      </c>
      <c r="F98" s="36"/>
      <c r="G98" s="37">
        <f t="shared" si="8"/>
        <v>52.87</v>
      </c>
      <c r="H98" s="38">
        <f t="shared" si="9"/>
        <v>52.87</v>
      </c>
      <c r="I98" s="39">
        <v>52.87</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t="str">
        <f t="shared" si="13"/>
        <v>502</v>
      </c>
      <c r="AY98" s="42">
        <f t="shared" si="14"/>
        <v>104.32</v>
      </c>
      <c r="AZ98" s="35">
        <f t="shared" si="15"/>
        <v>52.87</v>
      </c>
      <c r="BA98" s="35">
        <f t="shared" si="16"/>
        <v>52.87</v>
      </c>
      <c r="BB98" s="35">
        <f t="shared" si="17"/>
        <v>52.87</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t="s">
        <v>3145</v>
      </c>
      <c r="D99" s="2220" t="s">
        <v>3290</v>
      </c>
      <c r="E99" s="35">
        <f t="shared" si="7"/>
        <v>104.3</v>
      </c>
      <c r="F99" s="36"/>
      <c r="G99" s="37">
        <f t="shared" si="8"/>
        <v>52.86</v>
      </c>
      <c r="H99" s="38">
        <f t="shared" si="9"/>
        <v>52.86</v>
      </c>
      <c r="I99" s="39">
        <v>52.86</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t="str">
        <f t="shared" si="13"/>
        <v>503</v>
      </c>
      <c r="AY99" s="42">
        <f t="shared" si="14"/>
        <v>104.3</v>
      </c>
      <c r="AZ99" s="35">
        <f t="shared" si="15"/>
        <v>52.86</v>
      </c>
      <c r="BA99" s="35">
        <f t="shared" si="16"/>
        <v>52.86</v>
      </c>
      <c r="BB99" s="35">
        <f t="shared" si="17"/>
        <v>52.86</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t="s">
        <v>3146</v>
      </c>
      <c r="D100" s="2220" t="s">
        <v>3290</v>
      </c>
      <c r="E100" s="35">
        <f t="shared" si="7"/>
        <v>104.32</v>
      </c>
      <c r="F100" s="36"/>
      <c r="G100" s="37">
        <f t="shared" si="8"/>
        <v>52.87</v>
      </c>
      <c r="H100" s="38">
        <f t="shared" si="9"/>
        <v>52.87</v>
      </c>
      <c r="I100" s="39">
        <v>52.87</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t="str">
        <f t="shared" si="13"/>
        <v>504</v>
      </c>
      <c r="AY100" s="42">
        <f t="shared" si="14"/>
        <v>104.32</v>
      </c>
      <c r="AZ100" s="35">
        <f t="shared" si="15"/>
        <v>52.87</v>
      </c>
      <c r="BA100" s="35">
        <f t="shared" si="16"/>
        <v>52.87</v>
      </c>
      <c r="BB100" s="35">
        <f t="shared" si="17"/>
        <v>52.87</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t="s">
        <v>3147</v>
      </c>
      <c r="D101" s="2220" t="s">
        <v>3290</v>
      </c>
      <c r="E101" s="35">
        <f t="shared" si="7"/>
        <v>140.88999999999999</v>
      </c>
      <c r="F101" s="36"/>
      <c r="G101" s="37">
        <f t="shared" si="8"/>
        <v>71.400000000000006</v>
      </c>
      <c r="H101" s="38">
        <f t="shared" si="9"/>
        <v>71.400000000000006</v>
      </c>
      <c r="I101" s="39">
        <v>71.400000000000006</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t="str">
        <f t="shared" si="13"/>
        <v>505</v>
      </c>
      <c r="AY101" s="42">
        <f t="shared" si="14"/>
        <v>140.88999999999999</v>
      </c>
      <c r="AZ101" s="35">
        <f t="shared" si="15"/>
        <v>71.400000000000006</v>
      </c>
      <c r="BA101" s="35">
        <f t="shared" si="16"/>
        <v>71.400000000000006</v>
      </c>
      <c r="BB101" s="35">
        <f t="shared" si="17"/>
        <v>71.400000000000006</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t="s">
        <v>3148</v>
      </c>
      <c r="D102" s="2220" t="s">
        <v>3290</v>
      </c>
      <c r="E102" s="35">
        <f t="shared" si="7"/>
        <v>141.72</v>
      </c>
      <c r="F102" s="36"/>
      <c r="G102" s="37">
        <f t="shared" si="8"/>
        <v>71.819999999999993</v>
      </c>
      <c r="H102" s="38">
        <f t="shared" si="9"/>
        <v>71.819999999999993</v>
      </c>
      <c r="I102" s="39">
        <v>71.819999999999993</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t="str">
        <f t="shared" si="13"/>
        <v>506</v>
      </c>
      <c r="AY102" s="42">
        <f t="shared" si="14"/>
        <v>141.72</v>
      </c>
      <c r="AZ102" s="35">
        <f t="shared" si="15"/>
        <v>71.819999999999993</v>
      </c>
      <c r="BA102" s="35">
        <f t="shared" si="16"/>
        <v>71.819999999999993</v>
      </c>
      <c r="BB102" s="35">
        <f t="shared" si="17"/>
        <v>71.819999999999993</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t="s">
        <v>3149</v>
      </c>
      <c r="D103" s="2220" t="s">
        <v>3290</v>
      </c>
      <c r="E103" s="35">
        <f t="shared" si="7"/>
        <v>103.54</v>
      </c>
      <c r="F103" s="36"/>
      <c r="G103" s="37">
        <f t="shared" si="8"/>
        <v>52.47</v>
      </c>
      <c r="H103" s="38">
        <f t="shared" si="9"/>
        <v>52.47</v>
      </c>
      <c r="I103" s="39">
        <v>52.47</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t="str">
        <f t="shared" si="13"/>
        <v>507</v>
      </c>
      <c r="AY103" s="42">
        <f t="shared" si="14"/>
        <v>103.54</v>
      </c>
      <c r="AZ103" s="35">
        <f t="shared" si="15"/>
        <v>52.47</v>
      </c>
      <c r="BA103" s="35">
        <f t="shared" si="16"/>
        <v>52.47</v>
      </c>
      <c r="BB103" s="35">
        <f t="shared" si="17"/>
        <v>52.47</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t="s">
        <v>3150</v>
      </c>
      <c r="D104" s="2220" t="s">
        <v>3290</v>
      </c>
      <c r="E104" s="35">
        <f t="shared" si="7"/>
        <v>105.23</v>
      </c>
      <c r="F104" s="36"/>
      <c r="G104" s="37">
        <f t="shared" si="8"/>
        <v>53.33</v>
      </c>
      <c r="H104" s="38">
        <f t="shared" si="9"/>
        <v>53.33</v>
      </c>
      <c r="I104" s="39">
        <v>53.33</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t="str">
        <f t="shared" si="13"/>
        <v>508</v>
      </c>
      <c r="AY104" s="42">
        <f t="shared" si="14"/>
        <v>105.23</v>
      </c>
      <c r="AZ104" s="35">
        <f t="shared" si="15"/>
        <v>53.33</v>
      </c>
      <c r="BA104" s="35">
        <f t="shared" si="16"/>
        <v>53.33</v>
      </c>
      <c r="BB104" s="35">
        <f t="shared" si="17"/>
        <v>53.33</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t="s">
        <v>3151</v>
      </c>
      <c r="D105" s="2220" t="s">
        <v>3290</v>
      </c>
      <c r="E105" s="35">
        <f t="shared" si="7"/>
        <v>121.29</v>
      </c>
      <c r="F105" s="36"/>
      <c r="G105" s="37">
        <f t="shared" si="8"/>
        <v>61.47</v>
      </c>
      <c r="H105" s="38">
        <f t="shared" si="9"/>
        <v>61.47</v>
      </c>
      <c r="I105" s="39">
        <v>61.47</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t="str">
        <f t="shared" si="13"/>
        <v>509</v>
      </c>
      <c r="AY105" s="42">
        <f t="shared" si="14"/>
        <v>121.29</v>
      </c>
      <c r="AZ105" s="35">
        <f t="shared" si="15"/>
        <v>61.47</v>
      </c>
      <c r="BA105" s="35">
        <f t="shared" si="16"/>
        <v>61.47</v>
      </c>
      <c r="BB105" s="35">
        <f t="shared" si="17"/>
        <v>61.47</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t="s">
        <v>3152</v>
      </c>
      <c r="D106" s="2220" t="s">
        <v>3290</v>
      </c>
      <c r="E106" s="35">
        <f t="shared" si="7"/>
        <v>130.35</v>
      </c>
      <c r="F106" s="36"/>
      <c r="G106" s="37">
        <f t="shared" si="8"/>
        <v>66.06</v>
      </c>
      <c r="H106" s="38">
        <f t="shared" si="9"/>
        <v>66.06</v>
      </c>
      <c r="I106" s="39">
        <v>66.06</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t="str">
        <f t="shared" si="13"/>
        <v>510</v>
      </c>
      <c r="AY106" s="42">
        <f t="shared" si="14"/>
        <v>130.35</v>
      </c>
      <c r="AZ106" s="35">
        <f t="shared" si="15"/>
        <v>66.06</v>
      </c>
      <c r="BA106" s="35">
        <f t="shared" si="16"/>
        <v>66.06</v>
      </c>
      <c r="BB106" s="35">
        <f t="shared" si="17"/>
        <v>66.06</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t="s">
        <v>3153</v>
      </c>
      <c r="D107" s="2220" t="s">
        <v>3290</v>
      </c>
      <c r="E107" s="35">
        <f t="shared" si="7"/>
        <v>120.11</v>
      </c>
      <c r="F107" s="36"/>
      <c r="G107" s="37">
        <f t="shared" si="8"/>
        <v>60.87</v>
      </c>
      <c r="H107" s="38">
        <f t="shared" si="9"/>
        <v>60.87</v>
      </c>
      <c r="I107" s="39">
        <v>60.87</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t="str">
        <f t="shared" si="13"/>
        <v>511</v>
      </c>
      <c r="AY107" s="42">
        <f t="shared" si="14"/>
        <v>120.11</v>
      </c>
      <c r="AZ107" s="35">
        <f t="shared" si="15"/>
        <v>60.87</v>
      </c>
      <c r="BA107" s="35">
        <f t="shared" si="16"/>
        <v>60.87</v>
      </c>
      <c r="BB107" s="35">
        <f t="shared" si="17"/>
        <v>60.87</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t="s">
        <v>3154</v>
      </c>
      <c r="D108" s="2220" t="s">
        <v>3290</v>
      </c>
      <c r="E108" s="35">
        <f t="shared" si="7"/>
        <v>105.07</v>
      </c>
      <c r="F108" s="36"/>
      <c r="G108" s="37">
        <f t="shared" si="8"/>
        <v>53.25</v>
      </c>
      <c r="H108" s="38">
        <f t="shared" si="9"/>
        <v>53.25</v>
      </c>
      <c r="I108" s="39">
        <v>53.25</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t="str">
        <f t="shared" si="13"/>
        <v>512</v>
      </c>
      <c r="AY108" s="42">
        <f t="shared" si="14"/>
        <v>105.07</v>
      </c>
      <c r="AZ108" s="35">
        <f t="shared" si="15"/>
        <v>53.25</v>
      </c>
      <c r="BA108" s="35">
        <f t="shared" si="16"/>
        <v>53.25</v>
      </c>
      <c r="BB108" s="35">
        <f t="shared" si="17"/>
        <v>53.25</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t="s">
        <v>3155</v>
      </c>
      <c r="D109" s="2220" t="s">
        <v>3290</v>
      </c>
      <c r="E109" s="35">
        <f t="shared" si="7"/>
        <v>104.96</v>
      </c>
      <c r="F109" s="36"/>
      <c r="G109" s="37">
        <f t="shared" si="8"/>
        <v>53.19</v>
      </c>
      <c r="H109" s="38">
        <f t="shared" si="9"/>
        <v>53.19</v>
      </c>
      <c r="I109" s="39">
        <v>53.19</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t="str">
        <f t="shared" si="13"/>
        <v>513</v>
      </c>
      <c r="AY109" s="42">
        <f t="shared" si="14"/>
        <v>104.96</v>
      </c>
      <c r="AZ109" s="35">
        <f t="shared" si="15"/>
        <v>53.19</v>
      </c>
      <c r="BA109" s="35">
        <f t="shared" si="16"/>
        <v>53.19</v>
      </c>
      <c r="BB109" s="35">
        <f t="shared" si="17"/>
        <v>53.19</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0" t="s">
        <v>3156</v>
      </c>
      <c r="D110" s="2220" t="s">
        <v>3290</v>
      </c>
      <c r="E110" s="35">
        <f t="shared" si="7"/>
        <v>104.96</v>
      </c>
      <c r="F110" s="44"/>
      <c r="G110" s="37">
        <f t="shared" ref="G110:G141" si="36">H110+AC110+AT110</f>
        <v>53.19</v>
      </c>
      <c r="H110" s="38">
        <f t="shared" ref="H110:H141" si="37">SUMIF(I$12:AB$12,"总值",I110:AB110)</f>
        <v>53.19</v>
      </c>
      <c r="I110" s="10">
        <v>53.19</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t="str">
        <f t="shared" si="13"/>
        <v>514</v>
      </c>
      <c r="AY110" s="42">
        <f t="shared" ref="AY110:AY141" si="39">ROUND($AY$6*AZ110/$AZ$5,2)</f>
        <v>104.96</v>
      </c>
      <c r="AZ110" s="35">
        <f t="shared" ref="AZ110:AZ141" si="40">BA110+BL110</f>
        <v>53.19</v>
      </c>
      <c r="BA110" s="35">
        <f t="shared" ref="BA110:BA141" si="41">SUM(BB110:BK110)</f>
        <v>53.19</v>
      </c>
      <c r="BB110" s="35">
        <f t="shared" ref="BB110:BB141" si="42">IF($D110="是",I110-J110,0)</f>
        <v>53.19</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0" t="s">
        <v>3157</v>
      </c>
      <c r="D111" s="2220" t="s">
        <v>3290</v>
      </c>
      <c r="E111" s="35">
        <f t="shared" si="7"/>
        <v>104.92</v>
      </c>
      <c r="F111" s="44"/>
      <c r="G111" s="37">
        <f t="shared" si="36"/>
        <v>53.17</v>
      </c>
      <c r="H111" s="38">
        <f t="shared" si="37"/>
        <v>53.17</v>
      </c>
      <c r="I111" s="39">
        <v>53.17</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t="str">
        <f t="shared" si="13"/>
        <v>515</v>
      </c>
      <c r="AY111" s="42">
        <f t="shared" si="39"/>
        <v>104.92</v>
      </c>
      <c r="AZ111" s="35">
        <f t="shared" si="40"/>
        <v>53.17</v>
      </c>
      <c r="BA111" s="35">
        <f t="shared" si="41"/>
        <v>53.17</v>
      </c>
      <c r="BB111" s="35">
        <f t="shared" si="42"/>
        <v>53.17</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0" t="s">
        <v>3158</v>
      </c>
      <c r="D112" s="2220" t="s">
        <v>3290</v>
      </c>
      <c r="E112" s="35">
        <f t="shared" si="7"/>
        <v>144.44</v>
      </c>
      <c r="F112" s="44"/>
      <c r="G112" s="37">
        <f t="shared" si="36"/>
        <v>73.2</v>
      </c>
      <c r="H112" s="38">
        <f t="shared" si="37"/>
        <v>73.2</v>
      </c>
      <c r="I112" s="39">
        <v>73.2</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t="str">
        <f t="shared" si="13"/>
        <v>516</v>
      </c>
      <c r="AY112" s="42">
        <f t="shared" si="39"/>
        <v>144.44</v>
      </c>
      <c r="AZ112" s="35">
        <f t="shared" si="40"/>
        <v>73.2</v>
      </c>
      <c r="BA112" s="35">
        <f t="shared" si="41"/>
        <v>73.2</v>
      </c>
      <c r="BB112" s="35">
        <f t="shared" si="42"/>
        <v>73.2</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t="s">
        <v>3159</v>
      </c>
      <c r="D113" s="2220" t="s">
        <v>3290</v>
      </c>
      <c r="E113" s="35">
        <f t="shared" ref="E113:E144" si="61">IF($C$3="是",ROUND($A$3*G113/$B$3,2),ROUND($A$3*(G113-AT113)/$B$3,2))</f>
        <v>143.19999999999999</v>
      </c>
      <c r="F113" s="36"/>
      <c r="G113" s="37">
        <f t="shared" si="36"/>
        <v>72.569999999999993</v>
      </c>
      <c r="H113" s="38">
        <f t="shared" si="37"/>
        <v>72.569999999999993</v>
      </c>
      <c r="I113" s="39">
        <v>72.569999999999993</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t="str">
        <f t="shared" ref="AX113:AX144" si="64">C113</f>
        <v>517</v>
      </c>
      <c r="AY113" s="42">
        <f t="shared" si="39"/>
        <v>143.19999999999999</v>
      </c>
      <c r="AZ113" s="35">
        <f t="shared" si="40"/>
        <v>72.569999999999993</v>
      </c>
      <c r="BA113" s="35">
        <f t="shared" si="41"/>
        <v>72.569999999999993</v>
      </c>
      <c r="BB113" s="35">
        <f t="shared" si="42"/>
        <v>72.569999999999993</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t="s">
        <v>3160</v>
      </c>
      <c r="D114" s="2220" t="s">
        <v>3290</v>
      </c>
      <c r="E114" s="35">
        <f t="shared" si="61"/>
        <v>104.92</v>
      </c>
      <c r="F114" s="36"/>
      <c r="G114" s="37">
        <f t="shared" si="36"/>
        <v>53.17</v>
      </c>
      <c r="H114" s="38">
        <f t="shared" si="37"/>
        <v>53.17</v>
      </c>
      <c r="I114" s="39">
        <v>53.17</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t="str">
        <f t="shared" si="64"/>
        <v>518</v>
      </c>
      <c r="AY114" s="42">
        <f t="shared" si="39"/>
        <v>104.92</v>
      </c>
      <c r="AZ114" s="35">
        <f t="shared" si="40"/>
        <v>53.17</v>
      </c>
      <c r="BA114" s="35">
        <f t="shared" si="41"/>
        <v>53.17</v>
      </c>
      <c r="BB114" s="35">
        <f t="shared" si="42"/>
        <v>53.17</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t="s">
        <v>3161</v>
      </c>
      <c r="D115" s="2220" t="s">
        <v>3290</v>
      </c>
      <c r="E115" s="35">
        <f t="shared" si="61"/>
        <v>104.96</v>
      </c>
      <c r="F115" s="36"/>
      <c r="G115" s="37">
        <f t="shared" si="36"/>
        <v>53.19</v>
      </c>
      <c r="H115" s="38">
        <f t="shared" si="37"/>
        <v>53.19</v>
      </c>
      <c r="I115" s="39">
        <v>53.19</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t="str">
        <f t="shared" si="64"/>
        <v>519</v>
      </c>
      <c r="AY115" s="42">
        <f t="shared" si="39"/>
        <v>104.96</v>
      </c>
      <c r="AZ115" s="35">
        <f t="shared" si="40"/>
        <v>53.19</v>
      </c>
      <c r="BA115" s="35">
        <f t="shared" si="41"/>
        <v>53.19</v>
      </c>
      <c r="BB115" s="35">
        <f t="shared" si="42"/>
        <v>53.19</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t="s">
        <v>3162</v>
      </c>
      <c r="D116" s="2220" t="s">
        <v>3290</v>
      </c>
      <c r="E116" s="35">
        <f t="shared" si="61"/>
        <v>103.65</v>
      </c>
      <c r="F116" s="36"/>
      <c r="G116" s="37">
        <f t="shared" si="36"/>
        <v>52.53</v>
      </c>
      <c r="H116" s="38">
        <f t="shared" si="37"/>
        <v>52.53</v>
      </c>
      <c r="I116" s="39">
        <v>52.53</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t="str">
        <f t="shared" si="64"/>
        <v>520</v>
      </c>
      <c r="AY116" s="42">
        <f t="shared" si="39"/>
        <v>103.65</v>
      </c>
      <c r="AZ116" s="35">
        <f t="shared" si="40"/>
        <v>52.53</v>
      </c>
      <c r="BA116" s="35">
        <f t="shared" si="41"/>
        <v>52.53</v>
      </c>
      <c r="BB116" s="35">
        <f t="shared" si="42"/>
        <v>52.53</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t="s">
        <v>3163</v>
      </c>
      <c r="D117" s="2220" t="s">
        <v>3290</v>
      </c>
      <c r="E117" s="35">
        <f t="shared" si="61"/>
        <v>128.12</v>
      </c>
      <c r="F117" s="36"/>
      <c r="G117" s="37">
        <f t="shared" si="36"/>
        <v>64.930000000000007</v>
      </c>
      <c r="H117" s="38">
        <f t="shared" si="37"/>
        <v>64.930000000000007</v>
      </c>
      <c r="I117" s="39">
        <v>64.930000000000007</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t="str">
        <f t="shared" si="64"/>
        <v>521</v>
      </c>
      <c r="AY117" s="42">
        <f t="shared" si="39"/>
        <v>128.12</v>
      </c>
      <c r="AZ117" s="35">
        <f t="shared" si="40"/>
        <v>64.930000000000007</v>
      </c>
      <c r="BA117" s="35">
        <f t="shared" si="41"/>
        <v>64.930000000000007</v>
      </c>
      <c r="BB117" s="35">
        <f t="shared" si="42"/>
        <v>64.930000000000007</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t="s">
        <v>3164</v>
      </c>
      <c r="D118" s="2220" t="s">
        <v>3290</v>
      </c>
      <c r="E118" s="35">
        <f t="shared" si="61"/>
        <v>100.83</v>
      </c>
      <c r="F118" s="36"/>
      <c r="G118" s="37">
        <f t="shared" si="36"/>
        <v>51.1</v>
      </c>
      <c r="H118" s="38">
        <f t="shared" si="37"/>
        <v>51.1</v>
      </c>
      <c r="I118" s="39">
        <v>51.1</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t="str">
        <f t="shared" si="64"/>
        <v>601</v>
      </c>
      <c r="AY118" s="42">
        <f t="shared" si="39"/>
        <v>100.83</v>
      </c>
      <c r="AZ118" s="35">
        <f t="shared" si="40"/>
        <v>51.1</v>
      </c>
      <c r="BA118" s="35">
        <f t="shared" si="41"/>
        <v>51.1</v>
      </c>
      <c r="BB118" s="35">
        <f t="shared" si="42"/>
        <v>51.1</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t="s">
        <v>3165</v>
      </c>
      <c r="D119" s="2220" t="s">
        <v>3290</v>
      </c>
      <c r="E119" s="35">
        <f t="shared" si="61"/>
        <v>104.32</v>
      </c>
      <c r="F119" s="36"/>
      <c r="G119" s="37">
        <f t="shared" si="36"/>
        <v>52.87</v>
      </c>
      <c r="H119" s="38">
        <f t="shared" si="37"/>
        <v>52.87</v>
      </c>
      <c r="I119" s="39">
        <v>52.87</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t="str">
        <f t="shared" si="64"/>
        <v>602</v>
      </c>
      <c r="AY119" s="42">
        <f t="shared" si="39"/>
        <v>104.32</v>
      </c>
      <c r="AZ119" s="35">
        <f t="shared" si="40"/>
        <v>52.87</v>
      </c>
      <c r="BA119" s="35">
        <f t="shared" si="41"/>
        <v>52.87</v>
      </c>
      <c r="BB119" s="35">
        <f t="shared" si="42"/>
        <v>52.87</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t="s">
        <v>3166</v>
      </c>
      <c r="D120" s="2220" t="s">
        <v>3290</v>
      </c>
      <c r="E120" s="35">
        <f t="shared" si="61"/>
        <v>104.3</v>
      </c>
      <c r="F120" s="36"/>
      <c r="G120" s="37">
        <f t="shared" si="36"/>
        <v>52.86</v>
      </c>
      <c r="H120" s="38">
        <f t="shared" si="37"/>
        <v>52.86</v>
      </c>
      <c r="I120" s="39">
        <v>52.86</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t="str">
        <f t="shared" si="64"/>
        <v>603</v>
      </c>
      <c r="AY120" s="42">
        <f t="shared" si="39"/>
        <v>104.3</v>
      </c>
      <c r="AZ120" s="35">
        <f t="shared" si="40"/>
        <v>52.86</v>
      </c>
      <c r="BA120" s="35">
        <f t="shared" si="41"/>
        <v>52.86</v>
      </c>
      <c r="BB120" s="35">
        <f t="shared" si="42"/>
        <v>52.86</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t="s">
        <v>3167</v>
      </c>
      <c r="D121" s="2220" t="s">
        <v>3290</v>
      </c>
      <c r="E121" s="35">
        <f t="shared" si="61"/>
        <v>104.32</v>
      </c>
      <c r="F121" s="36"/>
      <c r="G121" s="37">
        <f t="shared" si="36"/>
        <v>52.87</v>
      </c>
      <c r="H121" s="38">
        <f t="shared" si="37"/>
        <v>52.87</v>
      </c>
      <c r="I121" s="39">
        <v>52.87</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t="str">
        <f t="shared" si="64"/>
        <v>604</v>
      </c>
      <c r="AY121" s="42">
        <f t="shared" si="39"/>
        <v>104.32</v>
      </c>
      <c r="AZ121" s="35">
        <f t="shared" si="40"/>
        <v>52.87</v>
      </c>
      <c r="BA121" s="35">
        <f t="shared" si="41"/>
        <v>52.87</v>
      </c>
      <c r="BB121" s="35">
        <f t="shared" si="42"/>
        <v>52.87</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t="s">
        <v>3168</v>
      </c>
      <c r="D122" s="2220" t="s">
        <v>3290</v>
      </c>
      <c r="E122" s="35">
        <f t="shared" si="61"/>
        <v>140.88999999999999</v>
      </c>
      <c r="F122" s="36"/>
      <c r="G122" s="37">
        <f t="shared" si="36"/>
        <v>71.400000000000006</v>
      </c>
      <c r="H122" s="38">
        <f t="shared" si="37"/>
        <v>71.400000000000006</v>
      </c>
      <c r="I122" s="39">
        <v>71.400000000000006</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t="str">
        <f t="shared" si="64"/>
        <v>605</v>
      </c>
      <c r="AY122" s="42">
        <f t="shared" si="39"/>
        <v>140.88999999999999</v>
      </c>
      <c r="AZ122" s="35">
        <f t="shared" si="40"/>
        <v>71.400000000000006</v>
      </c>
      <c r="BA122" s="35">
        <f t="shared" si="41"/>
        <v>71.400000000000006</v>
      </c>
      <c r="BB122" s="35">
        <f t="shared" si="42"/>
        <v>71.400000000000006</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t="s">
        <v>3169</v>
      </c>
      <c r="D123" s="2220" t="s">
        <v>3290</v>
      </c>
      <c r="E123" s="35">
        <f t="shared" si="61"/>
        <v>141.72</v>
      </c>
      <c r="F123" s="36"/>
      <c r="G123" s="37">
        <f t="shared" si="36"/>
        <v>71.819999999999993</v>
      </c>
      <c r="H123" s="38">
        <f t="shared" si="37"/>
        <v>71.819999999999993</v>
      </c>
      <c r="I123" s="39">
        <v>71.819999999999993</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t="str">
        <f t="shared" si="64"/>
        <v>606</v>
      </c>
      <c r="AY123" s="42">
        <f t="shared" si="39"/>
        <v>141.72</v>
      </c>
      <c r="AZ123" s="35">
        <f t="shared" si="40"/>
        <v>71.819999999999993</v>
      </c>
      <c r="BA123" s="35">
        <f t="shared" si="41"/>
        <v>71.819999999999993</v>
      </c>
      <c r="BB123" s="35">
        <f t="shared" si="42"/>
        <v>71.819999999999993</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t="s">
        <v>3170</v>
      </c>
      <c r="D124" s="2220" t="s">
        <v>3290</v>
      </c>
      <c r="E124" s="35">
        <f t="shared" si="61"/>
        <v>103.54</v>
      </c>
      <c r="F124" s="36"/>
      <c r="G124" s="37">
        <f t="shared" si="36"/>
        <v>52.47</v>
      </c>
      <c r="H124" s="38">
        <f t="shared" si="37"/>
        <v>52.47</v>
      </c>
      <c r="I124" s="39">
        <v>52.47</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t="str">
        <f t="shared" si="64"/>
        <v>607</v>
      </c>
      <c r="AY124" s="42">
        <f t="shared" si="39"/>
        <v>103.54</v>
      </c>
      <c r="AZ124" s="35">
        <f t="shared" si="40"/>
        <v>52.47</v>
      </c>
      <c r="BA124" s="35">
        <f t="shared" si="41"/>
        <v>52.47</v>
      </c>
      <c r="BB124" s="35">
        <f t="shared" si="42"/>
        <v>52.47</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t="s">
        <v>3171</v>
      </c>
      <c r="D125" s="2220" t="s">
        <v>3290</v>
      </c>
      <c r="E125" s="35">
        <f t="shared" si="61"/>
        <v>105.23</v>
      </c>
      <c r="F125" s="36"/>
      <c r="G125" s="37">
        <f t="shared" si="36"/>
        <v>53.33</v>
      </c>
      <c r="H125" s="38">
        <f t="shared" si="37"/>
        <v>53.33</v>
      </c>
      <c r="I125" s="39">
        <v>53.33</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t="str">
        <f t="shared" si="64"/>
        <v>608</v>
      </c>
      <c r="AY125" s="42">
        <f t="shared" si="39"/>
        <v>105.23</v>
      </c>
      <c r="AZ125" s="35">
        <f t="shared" si="40"/>
        <v>53.33</v>
      </c>
      <c r="BA125" s="35">
        <f t="shared" si="41"/>
        <v>53.33</v>
      </c>
      <c r="BB125" s="35">
        <f t="shared" si="42"/>
        <v>53.33</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t="s">
        <v>3172</v>
      </c>
      <c r="D126" s="2220" t="s">
        <v>3290</v>
      </c>
      <c r="E126" s="35">
        <f t="shared" si="61"/>
        <v>121.29</v>
      </c>
      <c r="F126" s="36"/>
      <c r="G126" s="37">
        <f t="shared" si="36"/>
        <v>61.47</v>
      </c>
      <c r="H126" s="38">
        <f t="shared" si="37"/>
        <v>61.47</v>
      </c>
      <c r="I126" s="39">
        <v>61.47</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t="str">
        <f t="shared" si="64"/>
        <v>609</v>
      </c>
      <c r="AY126" s="42">
        <f t="shared" si="39"/>
        <v>121.29</v>
      </c>
      <c r="AZ126" s="35">
        <f t="shared" si="40"/>
        <v>61.47</v>
      </c>
      <c r="BA126" s="35">
        <f t="shared" si="41"/>
        <v>61.47</v>
      </c>
      <c r="BB126" s="35">
        <f t="shared" si="42"/>
        <v>61.47</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t="s">
        <v>3173</v>
      </c>
      <c r="D127" s="2220" t="s">
        <v>3290</v>
      </c>
      <c r="E127" s="35">
        <f t="shared" si="61"/>
        <v>130.35</v>
      </c>
      <c r="F127" s="36"/>
      <c r="G127" s="37">
        <f t="shared" si="36"/>
        <v>66.06</v>
      </c>
      <c r="H127" s="38">
        <f t="shared" si="37"/>
        <v>66.06</v>
      </c>
      <c r="I127" s="39">
        <v>66.06</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t="str">
        <f t="shared" si="64"/>
        <v>610</v>
      </c>
      <c r="AY127" s="42">
        <f t="shared" si="39"/>
        <v>130.35</v>
      </c>
      <c r="AZ127" s="35">
        <f t="shared" si="40"/>
        <v>66.06</v>
      </c>
      <c r="BA127" s="35">
        <f t="shared" si="41"/>
        <v>66.06</v>
      </c>
      <c r="BB127" s="35">
        <f t="shared" si="42"/>
        <v>66.06</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t="s">
        <v>3174</v>
      </c>
      <c r="D128" s="2220" t="s">
        <v>3290</v>
      </c>
      <c r="E128" s="35">
        <f t="shared" si="61"/>
        <v>120.11</v>
      </c>
      <c r="F128" s="36"/>
      <c r="G128" s="37">
        <f t="shared" si="36"/>
        <v>60.87</v>
      </c>
      <c r="H128" s="38">
        <f t="shared" si="37"/>
        <v>60.87</v>
      </c>
      <c r="I128" s="39">
        <v>60.87</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t="str">
        <f t="shared" si="64"/>
        <v>611</v>
      </c>
      <c r="AY128" s="42">
        <f t="shared" si="39"/>
        <v>120.11</v>
      </c>
      <c r="AZ128" s="35">
        <f t="shared" si="40"/>
        <v>60.87</v>
      </c>
      <c r="BA128" s="35">
        <f t="shared" si="41"/>
        <v>60.87</v>
      </c>
      <c r="BB128" s="35">
        <f t="shared" si="42"/>
        <v>60.87</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t="s">
        <v>3175</v>
      </c>
      <c r="D129" s="2220" t="s">
        <v>3290</v>
      </c>
      <c r="E129" s="35">
        <f t="shared" si="61"/>
        <v>105.07</v>
      </c>
      <c r="F129" s="36"/>
      <c r="G129" s="37">
        <f t="shared" si="36"/>
        <v>53.25</v>
      </c>
      <c r="H129" s="38">
        <f t="shared" si="37"/>
        <v>53.25</v>
      </c>
      <c r="I129" s="39">
        <v>53.25</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t="str">
        <f t="shared" si="64"/>
        <v>612</v>
      </c>
      <c r="AY129" s="42">
        <f t="shared" si="39"/>
        <v>105.07</v>
      </c>
      <c r="AZ129" s="35">
        <f t="shared" si="40"/>
        <v>53.25</v>
      </c>
      <c r="BA129" s="35">
        <f t="shared" si="41"/>
        <v>53.25</v>
      </c>
      <c r="BB129" s="35">
        <f t="shared" si="42"/>
        <v>53.25</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t="s">
        <v>3176</v>
      </c>
      <c r="D130" s="2220" t="s">
        <v>3290</v>
      </c>
      <c r="E130" s="35">
        <f t="shared" si="61"/>
        <v>104.96</v>
      </c>
      <c r="F130" s="36"/>
      <c r="G130" s="37">
        <f t="shared" si="36"/>
        <v>53.19</v>
      </c>
      <c r="H130" s="38">
        <f t="shared" si="37"/>
        <v>53.19</v>
      </c>
      <c r="I130" s="39">
        <v>53.19</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t="str">
        <f t="shared" si="64"/>
        <v>613</v>
      </c>
      <c r="AY130" s="42">
        <f t="shared" si="39"/>
        <v>104.96</v>
      </c>
      <c r="AZ130" s="35">
        <f t="shared" si="40"/>
        <v>53.19</v>
      </c>
      <c r="BA130" s="35">
        <f t="shared" si="41"/>
        <v>53.19</v>
      </c>
      <c r="BB130" s="35">
        <f t="shared" si="42"/>
        <v>53.19</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t="s">
        <v>3177</v>
      </c>
      <c r="D131" s="2220" t="s">
        <v>3290</v>
      </c>
      <c r="E131" s="35">
        <f t="shared" si="61"/>
        <v>104.96</v>
      </c>
      <c r="F131" s="36"/>
      <c r="G131" s="37">
        <f t="shared" si="36"/>
        <v>53.19</v>
      </c>
      <c r="H131" s="38">
        <f t="shared" si="37"/>
        <v>53.19</v>
      </c>
      <c r="I131" s="39">
        <v>53.19</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t="str">
        <f t="shared" si="64"/>
        <v>614</v>
      </c>
      <c r="AY131" s="42">
        <f t="shared" si="39"/>
        <v>104.96</v>
      </c>
      <c r="AZ131" s="35">
        <f t="shared" si="40"/>
        <v>53.19</v>
      </c>
      <c r="BA131" s="35">
        <f t="shared" si="41"/>
        <v>53.19</v>
      </c>
      <c r="BB131" s="35">
        <f t="shared" si="42"/>
        <v>53.19</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t="s">
        <v>3178</v>
      </c>
      <c r="D132" s="2220" t="s">
        <v>3290</v>
      </c>
      <c r="E132" s="35">
        <f t="shared" si="61"/>
        <v>104.92</v>
      </c>
      <c r="F132" s="36"/>
      <c r="G132" s="37">
        <f t="shared" si="36"/>
        <v>53.17</v>
      </c>
      <c r="H132" s="38">
        <f t="shared" si="37"/>
        <v>53.17</v>
      </c>
      <c r="I132" s="39">
        <v>53.17</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t="str">
        <f t="shared" si="64"/>
        <v>615</v>
      </c>
      <c r="AY132" s="42">
        <f t="shared" si="39"/>
        <v>104.92</v>
      </c>
      <c r="AZ132" s="35">
        <f t="shared" si="40"/>
        <v>53.17</v>
      </c>
      <c r="BA132" s="35">
        <f t="shared" si="41"/>
        <v>53.17</v>
      </c>
      <c r="BB132" s="35">
        <f t="shared" si="42"/>
        <v>53.17</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t="s">
        <v>3179</v>
      </c>
      <c r="D133" s="2220" t="s">
        <v>3290</v>
      </c>
      <c r="E133" s="35">
        <f t="shared" si="61"/>
        <v>144.44</v>
      </c>
      <c r="F133" s="36"/>
      <c r="G133" s="37">
        <f t="shared" si="36"/>
        <v>73.2</v>
      </c>
      <c r="H133" s="38">
        <f t="shared" si="37"/>
        <v>73.2</v>
      </c>
      <c r="I133" s="39">
        <v>73.2</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t="str">
        <f t="shared" si="64"/>
        <v>616</v>
      </c>
      <c r="AY133" s="42">
        <f t="shared" si="39"/>
        <v>144.44</v>
      </c>
      <c r="AZ133" s="35">
        <f t="shared" si="40"/>
        <v>73.2</v>
      </c>
      <c r="BA133" s="35">
        <f t="shared" si="41"/>
        <v>73.2</v>
      </c>
      <c r="BB133" s="35">
        <f t="shared" si="42"/>
        <v>73.2</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t="s">
        <v>3180</v>
      </c>
      <c r="D134" s="2220" t="s">
        <v>3290</v>
      </c>
      <c r="E134" s="35">
        <f t="shared" si="61"/>
        <v>143.19999999999999</v>
      </c>
      <c r="F134" s="36"/>
      <c r="G134" s="37">
        <f t="shared" si="36"/>
        <v>72.569999999999993</v>
      </c>
      <c r="H134" s="38">
        <f t="shared" si="37"/>
        <v>72.569999999999993</v>
      </c>
      <c r="I134" s="39">
        <v>72.569999999999993</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t="str">
        <f t="shared" si="64"/>
        <v>617</v>
      </c>
      <c r="AY134" s="42">
        <f t="shared" si="39"/>
        <v>143.19999999999999</v>
      </c>
      <c r="AZ134" s="35">
        <f t="shared" si="40"/>
        <v>72.569999999999993</v>
      </c>
      <c r="BA134" s="35">
        <f t="shared" si="41"/>
        <v>72.569999999999993</v>
      </c>
      <c r="BB134" s="35">
        <f t="shared" si="42"/>
        <v>72.569999999999993</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t="s">
        <v>3181</v>
      </c>
      <c r="D135" s="2220" t="s">
        <v>3290</v>
      </c>
      <c r="E135" s="35">
        <f t="shared" si="61"/>
        <v>104.92</v>
      </c>
      <c r="F135" s="36"/>
      <c r="G135" s="37">
        <f t="shared" si="36"/>
        <v>53.17</v>
      </c>
      <c r="H135" s="38">
        <f t="shared" si="37"/>
        <v>53.17</v>
      </c>
      <c r="I135" s="39">
        <v>53.17</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t="str">
        <f t="shared" si="64"/>
        <v>618</v>
      </c>
      <c r="AY135" s="42">
        <f t="shared" si="39"/>
        <v>104.92</v>
      </c>
      <c r="AZ135" s="35">
        <f t="shared" si="40"/>
        <v>53.17</v>
      </c>
      <c r="BA135" s="35">
        <f t="shared" si="41"/>
        <v>53.17</v>
      </c>
      <c r="BB135" s="35">
        <f t="shared" si="42"/>
        <v>53.17</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t="s">
        <v>3182</v>
      </c>
      <c r="D136" s="2220" t="s">
        <v>3290</v>
      </c>
      <c r="E136" s="35">
        <f t="shared" si="61"/>
        <v>104.96</v>
      </c>
      <c r="F136" s="36"/>
      <c r="G136" s="37">
        <f t="shared" si="36"/>
        <v>53.19</v>
      </c>
      <c r="H136" s="38">
        <f t="shared" si="37"/>
        <v>53.19</v>
      </c>
      <c r="I136" s="39">
        <v>53.19</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t="str">
        <f t="shared" si="64"/>
        <v>619</v>
      </c>
      <c r="AY136" s="42">
        <f t="shared" si="39"/>
        <v>104.96</v>
      </c>
      <c r="AZ136" s="35">
        <f t="shared" si="40"/>
        <v>53.19</v>
      </c>
      <c r="BA136" s="35">
        <f t="shared" si="41"/>
        <v>53.19</v>
      </c>
      <c r="BB136" s="35">
        <f t="shared" si="42"/>
        <v>53.19</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t="s">
        <v>3183</v>
      </c>
      <c r="D137" s="2220" t="s">
        <v>3290</v>
      </c>
      <c r="E137" s="35">
        <f t="shared" si="61"/>
        <v>103.65</v>
      </c>
      <c r="F137" s="36"/>
      <c r="G137" s="37">
        <f t="shared" si="36"/>
        <v>52.53</v>
      </c>
      <c r="H137" s="38">
        <f t="shared" si="37"/>
        <v>52.53</v>
      </c>
      <c r="I137" s="39">
        <v>52.53</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t="str">
        <f t="shared" si="64"/>
        <v>620</v>
      </c>
      <c r="AY137" s="42">
        <f t="shared" si="39"/>
        <v>103.65</v>
      </c>
      <c r="AZ137" s="35">
        <f t="shared" si="40"/>
        <v>52.53</v>
      </c>
      <c r="BA137" s="35">
        <f t="shared" si="41"/>
        <v>52.53</v>
      </c>
      <c r="BB137" s="35">
        <f t="shared" si="42"/>
        <v>52.53</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t="s">
        <v>3184</v>
      </c>
      <c r="D138" s="2220" t="s">
        <v>3290</v>
      </c>
      <c r="E138" s="35">
        <f t="shared" si="61"/>
        <v>128.12</v>
      </c>
      <c r="F138" s="36"/>
      <c r="G138" s="37">
        <f t="shared" si="36"/>
        <v>64.930000000000007</v>
      </c>
      <c r="H138" s="38">
        <f t="shared" si="37"/>
        <v>64.930000000000007</v>
      </c>
      <c r="I138" s="39">
        <v>64.930000000000007</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t="str">
        <f t="shared" si="64"/>
        <v>621</v>
      </c>
      <c r="AY138" s="42">
        <f t="shared" si="39"/>
        <v>128.12</v>
      </c>
      <c r="AZ138" s="35">
        <f t="shared" si="40"/>
        <v>64.930000000000007</v>
      </c>
      <c r="BA138" s="35">
        <f t="shared" si="41"/>
        <v>64.930000000000007</v>
      </c>
      <c r="BB138" s="35">
        <f t="shared" si="42"/>
        <v>64.930000000000007</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t="s">
        <v>3185</v>
      </c>
      <c r="D139" s="2220" t="s">
        <v>3290</v>
      </c>
      <c r="E139" s="35">
        <f t="shared" si="61"/>
        <v>100.83</v>
      </c>
      <c r="F139" s="36"/>
      <c r="G139" s="37">
        <f t="shared" si="36"/>
        <v>51.1</v>
      </c>
      <c r="H139" s="38">
        <f t="shared" si="37"/>
        <v>51.1</v>
      </c>
      <c r="I139" s="39">
        <v>51.1</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t="str">
        <f t="shared" si="64"/>
        <v>701</v>
      </c>
      <c r="AY139" s="42">
        <f t="shared" si="39"/>
        <v>100.83</v>
      </c>
      <c r="AZ139" s="35">
        <f t="shared" si="40"/>
        <v>51.1</v>
      </c>
      <c r="BA139" s="35">
        <f t="shared" si="41"/>
        <v>51.1</v>
      </c>
      <c r="BB139" s="35">
        <f t="shared" si="42"/>
        <v>51.1</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t="s">
        <v>3186</v>
      </c>
      <c r="D140" s="2220" t="s">
        <v>3290</v>
      </c>
      <c r="E140" s="35">
        <f t="shared" si="61"/>
        <v>104.32</v>
      </c>
      <c r="F140" s="36"/>
      <c r="G140" s="37">
        <f t="shared" si="36"/>
        <v>52.87</v>
      </c>
      <c r="H140" s="38">
        <f t="shared" si="37"/>
        <v>52.87</v>
      </c>
      <c r="I140" s="39">
        <v>52.87</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t="str">
        <f t="shared" si="64"/>
        <v>702</v>
      </c>
      <c r="AY140" s="42">
        <f t="shared" si="39"/>
        <v>104.32</v>
      </c>
      <c r="AZ140" s="35">
        <f t="shared" si="40"/>
        <v>52.87</v>
      </c>
      <c r="BA140" s="35">
        <f t="shared" si="41"/>
        <v>52.87</v>
      </c>
      <c r="BB140" s="35">
        <f t="shared" si="42"/>
        <v>52.87</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t="s">
        <v>3187</v>
      </c>
      <c r="D141" s="2220" t="s">
        <v>3290</v>
      </c>
      <c r="E141" s="35">
        <f t="shared" si="61"/>
        <v>104.3</v>
      </c>
      <c r="F141" s="36"/>
      <c r="G141" s="37">
        <f t="shared" si="36"/>
        <v>52.86</v>
      </c>
      <c r="H141" s="38">
        <f t="shared" si="37"/>
        <v>52.86</v>
      </c>
      <c r="I141" s="39">
        <v>52.86</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t="str">
        <f t="shared" si="64"/>
        <v>703</v>
      </c>
      <c r="AY141" s="42">
        <f t="shared" si="39"/>
        <v>104.3</v>
      </c>
      <c r="AZ141" s="35">
        <f t="shared" si="40"/>
        <v>52.86</v>
      </c>
      <c r="BA141" s="35">
        <f t="shared" si="41"/>
        <v>52.86</v>
      </c>
      <c r="BB141" s="35">
        <f t="shared" si="42"/>
        <v>52.86</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t="s">
        <v>3188</v>
      </c>
      <c r="D142" s="2220" t="s">
        <v>3290</v>
      </c>
      <c r="E142" s="35">
        <f t="shared" si="61"/>
        <v>104.32</v>
      </c>
      <c r="F142" s="36"/>
      <c r="G142" s="37">
        <f t="shared" ref="G142:G173" si="65">H142+AC142+AT142</f>
        <v>52.87</v>
      </c>
      <c r="H142" s="38">
        <f t="shared" ref="H142:H173" si="66">SUMIF(I$12:AB$12,"总值",I142:AB142)</f>
        <v>52.87</v>
      </c>
      <c r="I142" s="39">
        <v>52.87</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t="str">
        <f t="shared" si="64"/>
        <v>704</v>
      </c>
      <c r="AY142" s="42">
        <f t="shared" ref="AY142:AY173" si="68">ROUND($AY$6*AZ142/$AZ$5,2)</f>
        <v>104.32</v>
      </c>
      <c r="AZ142" s="35">
        <f t="shared" ref="AZ142:AZ173" si="69">BA142+BL142</f>
        <v>52.87</v>
      </c>
      <c r="BA142" s="35">
        <f t="shared" ref="BA142:BA173" si="70">SUM(BB142:BK142)</f>
        <v>52.87</v>
      </c>
      <c r="BB142" s="35">
        <f t="shared" ref="BB142:BB173" si="71">IF($D142="是",I142-J142,0)</f>
        <v>52.87</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t="s">
        <v>3189</v>
      </c>
      <c r="D143" s="2220" t="s">
        <v>3290</v>
      </c>
      <c r="E143" s="35">
        <f t="shared" si="61"/>
        <v>140.88999999999999</v>
      </c>
      <c r="F143" s="36"/>
      <c r="G143" s="37">
        <f t="shared" si="65"/>
        <v>71.400000000000006</v>
      </c>
      <c r="H143" s="38">
        <f t="shared" si="66"/>
        <v>71.400000000000006</v>
      </c>
      <c r="I143" s="39">
        <v>71.400000000000006</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t="str">
        <f t="shared" si="64"/>
        <v>705</v>
      </c>
      <c r="AY143" s="42">
        <f t="shared" si="68"/>
        <v>140.88999999999999</v>
      </c>
      <c r="AZ143" s="35">
        <f t="shared" si="69"/>
        <v>71.400000000000006</v>
      </c>
      <c r="BA143" s="35">
        <f t="shared" si="70"/>
        <v>71.400000000000006</v>
      </c>
      <c r="BB143" s="35">
        <f t="shared" si="71"/>
        <v>71.400000000000006</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t="s">
        <v>3190</v>
      </c>
      <c r="D144" s="2220" t="s">
        <v>3290</v>
      </c>
      <c r="E144" s="35">
        <f t="shared" si="61"/>
        <v>141.72</v>
      </c>
      <c r="F144" s="36"/>
      <c r="G144" s="37">
        <f t="shared" si="65"/>
        <v>71.819999999999993</v>
      </c>
      <c r="H144" s="38">
        <f t="shared" si="66"/>
        <v>71.819999999999993</v>
      </c>
      <c r="I144" s="39">
        <v>71.819999999999993</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t="str">
        <f t="shared" si="64"/>
        <v>706</v>
      </c>
      <c r="AY144" s="42">
        <f t="shared" si="68"/>
        <v>141.72</v>
      </c>
      <c r="AZ144" s="35">
        <f t="shared" si="69"/>
        <v>71.819999999999993</v>
      </c>
      <c r="BA144" s="35">
        <f t="shared" si="70"/>
        <v>71.819999999999993</v>
      </c>
      <c r="BB144" s="35">
        <f t="shared" si="71"/>
        <v>71.819999999999993</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t="s">
        <v>3191</v>
      </c>
      <c r="D145" s="2220" t="s">
        <v>3290</v>
      </c>
      <c r="E145" s="35">
        <f t="shared" ref="E145:E176" si="90">IF($C$3="是",ROUND($A$3*G145/$B$3,2),ROUND($A$3*(G145-AT145)/$B$3,2))</f>
        <v>103.54</v>
      </c>
      <c r="F145" s="36"/>
      <c r="G145" s="37">
        <f t="shared" si="65"/>
        <v>52.47</v>
      </c>
      <c r="H145" s="38">
        <f t="shared" si="66"/>
        <v>52.47</v>
      </c>
      <c r="I145" s="39">
        <v>52.47</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t="str">
        <f t="shared" ref="AX145:AX176" si="93">C145</f>
        <v>707</v>
      </c>
      <c r="AY145" s="42">
        <f t="shared" si="68"/>
        <v>103.54</v>
      </c>
      <c r="AZ145" s="35">
        <f t="shared" si="69"/>
        <v>52.47</v>
      </c>
      <c r="BA145" s="35">
        <f t="shared" si="70"/>
        <v>52.47</v>
      </c>
      <c r="BB145" s="35">
        <f t="shared" si="71"/>
        <v>52.47</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t="s">
        <v>3192</v>
      </c>
      <c r="D146" s="2220" t="s">
        <v>3290</v>
      </c>
      <c r="E146" s="35">
        <f t="shared" si="90"/>
        <v>105.23</v>
      </c>
      <c r="F146" s="36"/>
      <c r="G146" s="37">
        <f t="shared" si="65"/>
        <v>53.33</v>
      </c>
      <c r="H146" s="38">
        <f t="shared" si="66"/>
        <v>53.33</v>
      </c>
      <c r="I146" s="39">
        <v>53.33</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t="str">
        <f t="shared" si="93"/>
        <v>708</v>
      </c>
      <c r="AY146" s="42">
        <f t="shared" si="68"/>
        <v>105.23</v>
      </c>
      <c r="AZ146" s="35">
        <f t="shared" si="69"/>
        <v>53.33</v>
      </c>
      <c r="BA146" s="35">
        <f t="shared" si="70"/>
        <v>53.33</v>
      </c>
      <c r="BB146" s="35">
        <f t="shared" si="71"/>
        <v>53.33</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t="s">
        <v>3193</v>
      </c>
      <c r="D147" s="2220" t="s">
        <v>3290</v>
      </c>
      <c r="E147" s="35">
        <f t="shared" si="90"/>
        <v>121.29</v>
      </c>
      <c r="F147" s="36"/>
      <c r="G147" s="37">
        <f t="shared" si="65"/>
        <v>61.47</v>
      </c>
      <c r="H147" s="38">
        <f t="shared" si="66"/>
        <v>61.47</v>
      </c>
      <c r="I147" s="39">
        <v>61.47</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t="str">
        <f t="shared" si="93"/>
        <v>709</v>
      </c>
      <c r="AY147" s="42">
        <f t="shared" si="68"/>
        <v>121.29</v>
      </c>
      <c r="AZ147" s="35">
        <f t="shared" si="69"/>
        <v>61.47</v>
      </c>
      <c r="BA147" s="35">
        <f t="shared" si="70"/>
        <v>61.47</v>
      </c>
      <c r="BB147" s="35">
        <f t="shared" si="71"/>
        <v>61.47</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t="s">
        <v>3194</v>
      </c>
      <c r="D148" s="2220" t="s">
        <v>3290</v>
      </c>
      <c r="E148" s="35">
        <f t="shared" si="90"/>
        <v>130.35</v>
      </c>
      <c r="F148" s="36"/>
      <c r="G148" s="37">
        <f t="shared" si="65"/>
        <v>66.06</v>
      </c>
      <c r="H148" s="38">
        <f t="shared" si="66"/>
        <v>66.06</v>
      </c>
      <c r="I148" s="39">
        <v>66.06</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t="str">
        <f t="shared" si="93"/>
        <v>710</v>
      </c>
      <c r="AY148" s="42">
        <f t="shared" si="68"/>
        <v>130.35</v>
      </c>
      <c r="AZ148" s="35">
        <f t="shared" si="69"/>
        <v>66.06</v>
      </c>
      <c r="BA148" s="35">
        <f t="shared" si="70"/>
        <v>66.06</v>
      </c>
      <c r="BB148" s="35">
        <f t="shared" si="71"/>
        <v>66.06</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t="s">
        <v>3195</v>
      </c>
      <c r="D149" s="2220" t="s">
        <v>3290</v>
      </c>
      <c r="E149" s="35">
        <f t="shared" si="90"/>
        <v>120.11</v>
      </c>
      <c r="F149" s="36"/>
      <c r="G149" s="37">
        <f t="shared" si="65"/>
        <v>60.87</v>
      </c>
      <c r="H149" s="38">
        <f t="shared" si="66"/>
        <v>60.87</v>
      </c>
      <c r="I149" s="39">
        <v>60.87</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t="str">
        <f t="shared" si="93"/>
        <v>711</v>
      </c>
      <c r="AY149" s="42">
        <f t="shared" si="68"/>
        <v>120.11</v>
      </c>
      <c r="AZ149" s="35">
        <f t="shared" si="69"/>
        <v>60.87</v>
      </c>
      <c r="BA149" s="35">
        <f t="shared" si="70"/>
        <v>60.87</v>
      </c>
      <c r="BB149" s="35">
        <f t="shared" si="71"/>
        <v>60.87</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t="s">
        <v>3196</v>
      </c>
      <c r="D150" s="2220" t="s">
        <v>3290</v>
      </c>
      <c r="E150" s="35">
        <f t="shared" si="90"/>
        <v>105.07</v>
      </c>
      <c r="F150" s="36"/>
      <c r="G150" s="37">
        <f t="shared" si="65"/>
        <v>53.25</v>
      </c>
      <c r="H150" s="38">
        <f t="shared" si="66"/>
        <v>53.25</v>
      </c>
      <c r="I150" s="39">
        <v>53.25</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t="str">
        <f t="shared" si="93"/>
        <v>712</v>
      </c>
      <c r="AY150" s="42">
        <f t="shared" si="68"/>
        <v>105.07</v>
      </c>
      <c r="AZ150" s="35">
        <f t="shared" si="69"/>
        <v>53.25</v>
      </c>
      <c r="BA150" s="35">
        <f t="shared" si="70"/>
        <v>53.25</v>
      </c>
      <c r="BB150" s="35">
        <f t="shared" si="71"/>
        <v>53.25</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t="s">
        <v>3197</v>
      </c>
      <c r="D151" s="2949" t="s">
        <v>3290</v>
      </c>
      <c r="E151" s="35">
        <f t="shared" si="90"/>
        <v>104.96</v>
      </c>
      <c r="F151" s="36"/>
      <c r="G151" s="37">
        <f t="shared" si="65"/>
        <v>53.19</v>
      </c>
      <c r="H151" s="38">
        <f t="shared" si="66"/>
        <v>53.19</v>
      </c>
      <c r="I151" s="39">
        <v>53.19</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t="str">
        <f t="shared" si="93"/>
        <v>713</v>
      </c>
      <c r="AY151" s="42">
        <f t="shared" si="68"/>
        <v>104.96</v>
      </c>
      <c r="AZ151" s="35">
        <f t="shared" si="69"/>
        <v>53.19</v>
      </c>
      <c r="BA151" s="35">
        <f t="shared" si="70"/>
        <v>53.19</v>
      </c>
      <c r="BB151" s="35">
        <f t="shared" si="71"/>
        <v>53.19</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t="s">
        <v>3198</v>
      </c>
      <c r="D152" s="2220" t="s">
        <v>3290</v>
      </c>
      <c r="E152" s="35">
        <f t="shared" si="90"/>
        <v>104.96</v>
      </c>
      <c r="F152" s="36"/>
      <c r="G152" s="37">
        <f t="shared" si="65"/>
        <v>53.19</v>
      </c>
      <c r="H152" s="38">
        <f t="shared" si="66"/>
        <v>53.19</v>
      </c>
      <c r="I152" s="39">
        <v>53.19</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t="str">
        <f t="shared" si="93"/>
        <v>714</v>
      </c>
      <c r="AY152" s="42">
        <f t="shared" si="68"/>
        <v>104.96</v>
      </c>
      <c r="AZ152" s="35">
        <f t="shared" si="69"/>
        <v>53.19</v>
      </c>
      <c r="BA152" s="35">
        <f t="shared" si="70"/>
        <v>53.19</v>
      </c>
      <c r="BB152" s="35">
        <f t="shared" si="71"/>
        <v>53.19</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t="s">
        <v>3199</v>
      </c>
      <c r="D153" s="2220" t="s">
        <v>3290</v>
      </c>
      <c r="E153" s="35">
        <f t="shared" si="90"/>
        <v>104.92</v>
      </c>
      <c r="F153" s="36"/>
      <c r="G153" s="37">
        <f t="shared" si="65"/>
        <v>53.17</v>
      </c>
      <c r="H153" s="38">
        <f t="shared" si="66"/>
        <v>53.17</v>
      </c>
      <c r="I153" s="39">
        <v>53.17</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t="str">
        <f t="shared" si="93"/>
        <v>715</v>
      </c>
      <c r="AY153" s="42">
        <f t="shared" si="68"/>
        <v>104.92</v>
      </c>
      <c r="AZ153" s="35">
        <f t="shared" si="69"/>
        <v>53.17</v>
      </c>
      <c r="BA153" s="35">
        <f t="shared" si="70"/>
        <v>53.17</v>
      </c>
      <c r="BB153" s="35">
        <f t="shared" si="71"/>
        <v>53.17</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t="s">
        <v>3200</v>
      </c>
      <c r="D154" s="2949" t="s">
        <v>3290</v>
      </c>
      <c r="E154" s="35">
        <f t="shared" si="90"/>
        <v>144.44</v>
      </c>
      <c r="F154" s="36"/>
      <c r="G154" s="37">
        <f t="shared" si="65"/>
        <v>73.2</v>
      </c>
      <c r="H154" s="38">
        <f t="shared" si="66"/>
        <v>73.2</v>
      </c>
      <c r="I154" s="39">
        <v>73.2</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t="str">
        <f t="shared" si="93"/>
        <v>716</v>
      </c>
      <c r="AY154" s="42">
        <f t="shared" si="68"/>
        <v>144.44</v>
      </c>
      <c r="AZ154" s="35">
        <f t="shared" si="69"/>
        <v>73.2</v>
      </c>
      <c r="BA154" s="35">
        <f t="shared" si="70"/>
        <v>73.2</v>
      </c>
      <c r="BB154" s="35">
        <f t="shared" si="71"/>
        <v>73.2</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t="s">
        <v>3201</v>
      </c>
      <c r="D155" s="2220" t="s">
        <v>3290</v>
      </c>
      <c r="E155" s="35">
        <f t="shared" si="90"/>
        <v>143.19999999999999</v>
      </c>
      <c r="F155" s="36"/>
      <c r="G155" s="37">
        <f t="shared" si="65"/>
        <v>72.569999999999993</v>
      </c>
      <c r="H155" s="38">
        <f t="shared" si="66"/>
        <v>72.569999999999993</v>
      </c>
      <c r="I155" s="39">
        <v>72.569999999999993</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t="str">
        <f t="shared" si="93"/>
        <v>717</v>
      </c>
      <c r="AY155" s="42">
        <f t="shared" si="68"/>
        <v>143.19999999999999</v>
      </c>
      <c r="AZ155" s="35">
        <f t="shared" si="69"/>
        <v>72.569999999999993</v>
      </c>
      <c r="BA155" s="35">
        <f t="shared" si="70"/>
        <v>72.569999999999993</v>
      </c>
      <c r="BB155" s="35">
        <f t="shared" si="71"/>
        <v>72.569999999999993</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t="s">
        <v>3202</v>
      </c>
      <c r="D156" s="2220" t="s">
        <v>3290</v>
      </c>
      <c r="E156" s="35">
        <f t="shared" si="90"/>
        <v>104.92</v>
      </c>
      <c r="F156" s="36"/>
      <c r="G156" s="37">
        <f t="shared" si="65"/>
        <v>53.17</v>
      </c>
      <c r="H156" s="38">
        <f t="shared" si="66"/>
        <v>53.17</v>
      </c>
      <c r="I156" s="39">
        <v>53.17</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t="str">
        <f t="shared" si="93"/>
        <v>718</v>
      </c>
      <c r="AY156" s="42">
        <f t="shared" si="68"/>
        <v>104.92</v>
      </c>
      <c r="AZ156" s="35">
        <f t="shared" si="69"/>
        <v>53.17</v>
      </c>
      <c r="BA156" s="35">
        <f t="shared" si="70"/>
        <v>53.17</v>
      </c>
      <c r="BB156" s="35">
        <f t="shared" si="71"/>
        <v>53.17</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t="s">
        <v>3203</v>
      </c>
      <c r="D157" s="2220" t="s">
        <v>3290</v>
      </c>
      <c r="E157" s="35">
        <f t="shared" si="90"/>
        <v>104.96</v>
      </c>
      <c r="F157" s="36"/>
      <c r="G157" s="37">
        <f t="shared" si="65"/>
        <v>53.19</v>
      </c>
      <c r="H157" s="38">
        <f t="shared" si="66"/>
        <v>53.19</v>
      </c>
      <c r="I157" s="39">
        <v>53.19</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t="str">
        <f t="shared" si="93"/>
        <v>719</v>
      </c>
      <c r="AY157" s="42">
        <f t="shared" si="68"/>
        <v>104.96</v>
      </c>
      <c r="AZ157" s="35">
        <f t="shared" si="69"/>
        <v>53.19</v>
      </c>
      <c r="BA157" s="35">
        <f t="shared" si="70"/>
        <v>53.19</v>
      </c>
      <c r="BB157" s="35">
        <f t="shared" si="71"/>
        <v>53.19</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t="s">
        <v>3204</v>
      </c>
      <c r="D158" s="2220" t="s">
        <v>3290</v>
      </c>
      <c r="E158" s="35">
        <f t="shared" si="90"/>
        <v>103.65</v>
      </c>
      <c r="F158" s="36"/>
      <c r="G158" s="37">
        <f t="shared" si="65"/>
        <v>52.53</v>
      </c>
      <c r="H158" s="38">
        <f t="shared" si="66"/>
        <v>52.53</v>
      </c>
      <c r="I158" s="39">
        <v>52.53</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t="str">
        <f t="shared" si="93"/>
        <v>720</v>
      </c>
      <c r="AY158" s="42">
        <f t="shared" si="68"/>
        <v>103.65</v>
      </c>
      <c r="AZ158" s="35">
        <f t="shared" si="69"/>
        <v>52.53</v>
      </c>
      <c r="BA158" s="35">
        <f t="shared" si="70"/>
        <v>52.53</v>
      </c>
      <c r="BB158" s="35">
        <f t="shared" si="71"/>
        <v>52.53</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t="s">
        <v>3205</v>
      </c>
      <c r="D159" s="2220" t="s">
        <v>3290</v>
      </c>
      <c r="E159" s="35">
        <f t="shared" si="90"/>
        <v>128.12</v>
      </c>
      <c r="F159" s="36"/>
      <c r="G159" s="37">
        <f t="shared" si="65"/>
        <v>64.930000000000007</v>
      </c>
      <c r="H159" s="38">
        <f t="shared" si="66"/>
        <v>64.930000000000007</v>
      </c>
      <c r="I159" s="39">
        <v>64.930000000000007</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t="str">
        <f t="shared" si="93"/>
        <v>721</v>
      </c>
      <c r="AY159" s="42">
        <f t="shared" si="68"/>
        <v>128.12</v>
      </c>
      <c r="AZ159" s="35">
        <f t="shared" si="69"/>
        <v>64.930000000000007</v>
      </c>
      <c r="BA159" s="35">
        <f t="shared" si="70"/>
        <v>64.930000000000007</v>
      </c>
      <c r="BB159" s="35">
        <f t="shared" si="71"/>
        <v>64.930000000000007</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t="s">
        <v>3206</v>
      </c>
      <c r="D160" s="2949" t="s">
        <v>3290</v>
      </c>
      <c r="E160" s="35">
        <f t="shared" si="90"/>
        <v>100.83</v>
      </c>
      <c r="F160" s="36"/>
      <c r="G160" s="37">
        <f t="shared" si="65"/>
        <v>51.1</v>
      </c>
      <c r="H160" s="38">
        <f t="shared" si="66"/>
        <v>51.1</v>
      </c>
      <c r="I160" s="39">
        <v>51.1</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t="str">
        <f t="shared" si="93"/>
        <v>801</v>
      </c>
      <c r="AY160" s="42">
        <f t="shared" si="68"/>
        <v>100.83</v>
      </c>
      <c r="AZ160" s="35">
        <f t="shared" si="69"/>
        <v>51.1</v>
      </c>
      <c r="BA160" s="35">
        <f t="shared" si="70"/>
        <v>51.1</v>
      </c>
      <c r="BB160" s="35">
        <f t="shared" si="71"/>
        <v>51.1</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t="s">
        <v>3207</v>
      </c>
      <c r="D161" s="2949" t="s">
        <v>3290</v>
      </c>
      <c r="E161" s="35">
        <f t="shared" si="90"/>
        <v>104.32</v>
      </c>
      <c r="F161" s="36"/>
      <c r="G161" s="37">
        <f t="shared" si="65"/>
        <v>52.87</v>
      </c>
      <c r="H161" s="38">
        <f t="shared" si="66"/>
        <v>52.87</v>
      </c>
      <c r="I161" s="39">
        <v>52.87</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t="str">
        <f t="shared" si="93"/>
        <v>802</v>
      </c>
      <c r="AY161" s="42">
        <f t="shared" si="68"/>
        <v>104.32</v>
      </c>
      <c r="AZ161" s="35">
        <f t="shared" si="69"/>
        <v>52.87</v>
      </c>
      <c r="BA161" s="35">
        <f t="shared" si="70"/>
        <v>52.87</v>
      </c>
      <c r="BB161" s="35">
        <f t="shared" si="71"/>
        <v>52.87</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t="s">
        <v>3208</v>
      </c>
      <c r="D162" s="2949" t="s">
        <v>3290</v>
      </c>
      <c r="E162" s="35">
        <f t="shared" si="90"/>
        <v>104.3</v>
      </c>
      <c r="F162" s="36"/>
      <c r="G162" s="37">
        <f t="shared" si="65"/>
        <v>52.86</v>
      </c>
      <c r="H162" s="38">
        <f t="shared" si="66"/>
        <v>52.86</v>
      </c>
      <c r="I162" s="39">
        <v>52.86</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t="str">
        <f t="shared" si="93"/>
        <v>803</v>
      </c>
      <c r="AY162" s="42">
        <f t="shared" si="68"/>
        <v>104.3</v>
      </c>
      <c r="AZ162" s="35">
        <f t="shared" si="69"/>
        <v>52.86</v>
      </c>
      <c r="BA162" s="35">
        <f t="shared" si="70"/>
        <v>52.86</v>
      </c>
      <c r="BB162" s="35">
        <f t="shared" si="71"/>
        <v>52.86</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t="s">
        <v>3209</v>
      </c>
      <c r="D163" s="2949" t="s">
        <v>3290</v>
      </c>
      <c r="E163" s="35">
        <f t="shared" si="90"/>
        <v>104.32</v>
      </c>
      <c r="F163" s="36"/>
      <c r="G163" s="37">
        <f t="shared" si="65"/>
        <v>52.87</v>
      </c>
      <c r="H163" s="38">
        <f t="shared" si="66"/>
        <v>52.87</v>
      </c>
      <c r="I163" s="39">
        <v>52.87</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t="str">
        <f t="shared" si="93"/>
        <v>804</v>
      </c>
      <c r="AY163" s="42">
        <f t="shared" si="68"/>
        <v>104.32</v>
      </c>
      <c r="AZ163" s="35">
        <f t="shared" si="69"/>
        <v>52.87</v>
      </c>
      <c r="BA163" s="35">
        <f t="shared" si="70"/>
        <v>52.87</v>
      </c>
      <c r="BB163" s="35">
        <f t="shared" si="71"/>
        <v>52.87</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t="s">
        <v>3210</v>
      </c>
      <c r="D164" s="2949" t="s">
        <v>3290</v>
      </c>
      <c r="E164" s="35">
        <f t="shared" si="90"/>
        <v>140.88999999999999</v>
      </c>
      <c r="F164" s="36"/>
      <c r="G164" s="37">
        <f t="shared" si="65"/>
        <v>71.400000000000006</v>
      </c>
      <c r="H164" s="38">
        <f t="shared" si="66"/>
        <v>71.400000000000006</v>
      </c>
      <c r="I164" s="39">
        <v>71.400000000000006</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t="str">
        <f t="shared" si="93"/>
        <v>805</v>
      </c>
      <c r="AY164" s="42">
        <f t="shared" si="68"/>
        <v>140.88999999999999</v>
      </c>
      <c r="AZ164" s="35">
        <f t="shared" si="69"/>
        <v>71.400000000000006</v>
      </c>
      <c r="BA164" s="35">
        <f t="shared" si="70"/>
        <v>71.400000000000006</v>
      </c>
      <c r="BB164" s="35">
        <f t="shared" si="71"/>
        <v>71.400000000000006</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t="s">
        <v>3211</v>
      </c>
      <c r="D165" s="2949" t="s">
        <v>3290</v>
      </c>
      <c r="E165" s="35">
        <f t="shared" si="90"/>
        <v>141.72</v>
      </c>
      <c r="F165" s="36"/>
      <c r="G165" s="37">
        <f t="shared" si="65"/>
        <v>71.819999999999993</v>
      </c>
      <c r="H165" s="38">
        <f t="shared" si="66"/>
        <v>71.819999999999993</v>
      </c>
      <c r="I165" s="39">
        <v>71.819999999999993</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t="str">
        <f t="shared" si="93"/>
        <v>806</v>
      </c>
      <c r="AY165" s="42">
        <f t="shared" si="68"/>
        <v>141.72</v>
      </c>
      <c r="AZ165" s="35">
        <f t="shared" si="69"/>
        <v>71.819999999999993</v>
      </c>
      <c r="BA165" s="35">
        <f t="shared" si="70"/>
        <v>71.819999999999993</v>
      </c>
      <c r="BB165" s="35">
        <f t="shared" si="71"/>
        <v>71.819999999999993</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t="s">
        <v>3212</v>
      </c>
      <c r="D166" s="2949" t="s">
        <v>3290</v>
      </c>
      <c r="E166" s="35">
        <f t="shared" si="90"/>
        <v>103.54</v>
      </c>
      <c r="F166" s="36"/>
      <c r="G166" s="37">
        <f t="shared" si="65"/>
        <v>52.47</v>
      </c>
      <c r="H166" s="38">
        <f t="shared" si="66"/>
        <v>52.47</v>
      </c>
      <c r="I166" s="39">
        <v>52.47</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t="str">
        <f t="shared" si="93"/>
        <v>807</v>
      </c>
      <c r="AY166" s="42">
        <f t="shared" si="68"/>
        <v>103.54</v>
      </c>
      <c r="AZ166" s="35">
        <f t="shared" si="69"/>
        <v>52.47</v>
      </c>
      <c r="BA166" s="35">
        <f t="shared" si="70"/>
        <v>52.47</v>
      </c>
      <c r="BB166" s="35">
        <f t="shared" si="71"/>
        <v>52.47</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t="s">
        <v>3213</v>
      </c>
      <c r="D167" s="2949" t="s">
        <v>3290</v>
      </c>
      <c r="E167" s="35">
        <f t="shared" si="90"/>
        <v>105.23</v>
      </c>
      <c r="F167" s="36"/>
      <c r="G167" s="37">
        <f t="shared" si="65"/>
        <v>53.33</v>
      </c>
      <c r="H167" s="38">
        <f t="shared" si="66"/>
        <v>53.33</v>
      </c>
      <c r="I167" s="39">
        <v>53.33</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t="str">
        <f t="shared" si="93"/>
        <v>808</v>
      </c>
      <c r="AY167" s="42">
        <f t="shared" si="68"/>
        <v>105.23</v>
      </c>
      <c r="AZ167" s="35">
        <f t="shared" si="69"/>
        <v>53.33</v>
      </c>
      <c r="BA167" s="35">
        <f t="shared" si="70"/>
        <v>53.33</v>
      </c>
      <c r="BB167" s="35">
        <f t="shared" si="71"/>
        <v>53.33</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t="s">
        <v>3214</v>
      </c>
      <c r="D168" s="2949" t="s">
        <v>3290</v>
      </c>
      <c r="E168" s="35">
        <f t="shared" si="90"/>
        <v>121.29</v>
      </c>
      <c r="F168" s="36"/>
      <c r="G168" s="37">
        <f t="shared" si="65"/>
        <v>61.47</v>
      </c>
      <c r="H168" s="38">
        <f t="shared" si="66"/>
        <v>61.47</v>
      </c>
      <c r="I168" s="39">
        <v>61.47</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t="str">
        <f t="shared" si="93"/>
        <v>809</v>
      </c>
      <c r="AY168" s="42">
        <f t="shared" si="68"/>
        <v>121.29</v>
      </c>
      <c r="AZ168" s="35">
        <f t="shared" si="69"/>
        <v>61.47</v>
      </c>
      <c r="BA168" s="35">
        <f t="shared" si="70"/>
        <v>61.47</v>
      </c>
      <c r="BB168" s="35">
        <f t="shared" si="71"/>
        <v>61.47</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t="s">
        <v>3215</v>
      </c>
      <c r="D169" s="2949" t="s">
        <v>3290</v>
      </c>
      <c r="E169" s="35">
        <f t="shared" si="90"/>
        <v>130.35</v>
      </c>
      <c r="F169" s="36"/>
      <c r="G169" s="37">
        <f t="shared" si="65"/>
        <v>66.06</v>
      </c>
      <c r="H169" s="38">
        <f t="shared" si="66"/>
        <v>66.06</v>
      </c>
      <c r="I169" s="39">
        <v>66.06</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t="str">
        <f t="shared" si="93"/>
        <v>810</v>
      </c>
      <c r="AY169" s="42">
        <f t="shared" si="68"/>
        <v>130.35</v>
      </c>
      <c r="AZ169" s="35">
        <f t="shared" si="69"/>
        <v>66.06</v>
      </c>
      <c r="BA169" s="35">
        <f t="shared" si="70"/>
        <v>66.06</v>
      </c>
      <c r="BB169" s="35">
        <f t="shared" si="71"/>
        <v>66.06</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t="s">
        <v>3216</v>
      </c>
      <c r="D170" s="2949" t="s">
        <v>3290</v>
      </c>
      <c r="E170" s="35">
        <f t="shared" si="90"/>
        <v>120.11</v>
      </c>
      <c r="F170" s="36"/>
      <c r="G170" s="37">
        <f t="shared" si="65"/>
        <v>60.87</v>
      </c>
      <c r="H170" s="38">
        <f t="shared" si="66"/>
        <v>60.87</v>
      </c>
      <c r="I170" s="39">
        <v>60.87</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t="str">
        <f t="shared" si="93"/>
        <v>811</v>
      </c>
      <c r="AY170" s="42">
        <f t="shared" si="68"/>
        <v>120.11</v>
      </c>
      <c r="AZ170" s="35">
        <f t="shared" si="69"/>
        <v>60.87</v>
      </c>
      <c r="BA170" s="35">
        <f t="shared" si="70"/>
        <v>60.87</v>
      </c>
      <c r="BB170" s="35">
        <f t="shared" si="71"/>
        <v>60.87</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t="s">
        <v>3217</v>
      </c>
      <c r="D171" s="2949" t="s">
        <v>3290</v>
      </c>
      <c r="E171" s="35">
        <f t="shared" si="90"/>
        <v>105.07</v>
      </c>
      <c r="F171" s="36"/>
      <c r="G171" s="37">
        <f t="shared" si="65"/>
        <v>53.25</v>
      </c>
      <c r="H171" s="38">
        <f t="shared" si="66"/>
        <v>53.25</v>
      </c>
      <c r="I171" s="39">
        <v>53.25</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t="str">
        <f t="shared" si="93"/>
        <v>812</v>
      </c>
      <c r="AY171" s="42">
        <f t="shared" si="68"/>
        <v>105.07</v>
      </c>
      <c r="AZ171" s="35">
        <f t="shared" si="69"/>
        <v>53.25</v>
      </c>
      <c r="BA171" s="35">
        <f t="shared" si="70"/>
        <v>53.25</v>
      </c>
      <c r="BB171" s="35">
        <f t="shared" si="71"/>
        <v>53.25</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t="s">
        <v>3218</v>
      </c>
      <c r="D172" s="2949" t="s">
        <v>3290</v>
      </c>
      <c r="E172" s="35">
        <f t="shared" si="90"/>
        <v>104.96</v>
      </c>
      <c r="F172" s="36"/>
      <c r="G172" s="37">
        <f t="shared" si="65"/>
        <v>53.19</v>
      </c>
      <c r="H172" s="38">
        <f t="shared" si="66"/>
        <v>53.19</v>
      </c>
      <c r="I172" s="39">
        <v>53.19</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t="str">
        <f t="shared" si="93"/>
        <v>813</v>
      </c>
      <c r="AY172" s="42">
        <f t="shared" si="68"/>
        <v>104.96</v>
      </c>
      <c r="AZ172" s="35">
        <f t="shared" si="69"/>
        <v>53.19</v>
      </c>
      <c r="BA172" s="35">
        <f t="shared" si="70"/>
        <v>53.19</v>
      </c>
      <c r="BB172" s="35">
        <f t="shared" si="71"/>
        <v>53.19</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t="s">
        <v>3219</v>
      </c>
      <c r="D173" s="2949" t="s">
        <v>3290</v>
      </c>
      <c r="E173" s="35">
        <f t="shared" si="90"/>
        <v>104.96</v>
      </c>
      <c r="F173" s="36"/>
      <c r="G173" s="37">
        <f t="shared" si="65"/>
        <v>53.19</v>
      </c>
      <c r="H173" s="38">
        <f t="shared" si="66"/>
        <v>53.19</v>
      </c>
      <c r="I173" s="39">
        <v>53.19</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t="str">
        <f t="shared" si="93"/>
        <v>814</v>
      </c>
      <c r="AY173" s="42">
        <f t="shared" si="68"/>
        <v>104.96</v>
      </c>
      <c r="AZ173" s="35">
        <f t="shared" si="69"/>
        <v>53.19</v>
      </c>
      <c r="BA173" s="35">
        <f t="shared" si="70"/>
        <v>53.19</v>
      </c>
      <c r="BB173" s="35">
        <f t="shared" si="71"/>
        <v>53.19</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t="s">
        <v>3220</v>
      </c>
      <c r="D174" s="2949" t="s">
        <v>3290</v>
      </c>
      <c r="E174" s="35">
        <f t="shared" si="90"/>
        <v>104.92</v>
      </c>
      <c r="F174" s="36"/>
      <c r="G174" s="37">
        <f t="shared" ref="G174:G205" si="94">H174+AC174+AT174</f>
        <v>53.17</v>
      </c>
      <c r="H174" s="38">
        <f t="shared" ref="H174:H205" si="95">SUMIF(I$12:AB$12,"总值",I174:AB174)</f>
        <v>53.17</v>
      </c>
      <c r="I174" s="39">
        <v>53.17</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t="str">
        <f t="shared" si="93"/>
        <v>815</v>
      </c>
      <c r="AY174" s="42">
        <f t="shared" ref="AY174:AY205" si="97">ROUND($AY$6*AZ174/$AZ$5,2)</f>
        <v>104.92</v>
      </c>
      <c r="AZ174" s="35">
        <f t="shared" ref="AZ174:AZ205" si="98">BA174+BL174</f>
        <v>53.17</v>
      </c>
      <c r="BA174" s="35">
        <f t="shared" ref="BA174:BA205" si="99">SUM(BB174:BK174)</f>
        <v>53.17</v>
      </c>
      <c r="BB174" s="35">
        <f t="shared" ref="BB174:BB207" si="100">IF($D174="是",I174-J174,0)</f>
        <v>53.17</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t="s">
        <v>3221</v>
      </c>
      <c r="D175" s="2949" t="s">
        <v>3290</v>
      </c>
      <c r="E175" s="35">
        <f t="shared" si="90"/>
        <v>144.44</v>
      </c>
      <c r="F175" s="36"/>
      <c r="G175" s="37">
        <f t="shared" si="94"/>
        <v>73.2</v>
      </c>
      <c r="H175" s="38">
        <f t="shared" si="95"/>
        <v>73.2</v>
      </c>
      <c r="I175" s="39">
        <v>73.2</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t="str">
        <f t="shared" si="93"/>
        <v>816</v>
      </c>
      <c r="AY175" s="42">
        <f t="shared" si="97"/>
        <v>144.44</v>
      </c>
      <c r="AZ175" s="35">
        <f t="shared" si="98"/>
        <v>73.2</v>
      </c>
      <c r="BA175" s="35">
        <f t="shared" si="99"/>
        <v>73.2</v>
      </c>
      <c r="BB175" s="35">
        <f t="shared" si="100"/>
        <v>73.2</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t="s">
        <v>3222</v>
      </c>
      <c r="D176" s="2949" t="s">
        <v>3290</v>
      </c>
      <c r="E176" s="35">
        <f t="shared" si="90"/>
        <v>143.19999999999999</v>
      </c>
      <c r="F176" s="36"/>
      <c r="G176" s="37">
        <f t="shared" si="94"/>
        <v>72.569999999999993</v>
      </c>
      <c r="H176" s="38">
        <f t="shared" si="95"/>
        <v>72.569999999999993</v>
      </c>
      <c r="I176" s="39">
        <v>72.569999999999993</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t="str">
        <f t="shared" si="93"/>
        <v>817</v>
      </c>
      <c r="AY176" s="42">
        <f t="shared" si="97"/>
        <v>143.19999999999999</v>
      </c>
      <c r="AZ176" s="35">
        <f t="shared" si="98"/>
        <v>72.569999999999993</v>
      </c>
      <c r="BA176" s="35">
        <f t="shared" si="99"/>
        <v>72.569999999999993</v>
      </c>
      <c r="BB176" s="35">
        <f t="shared" si="100"/>
        <v>72.569999999999993</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t="s">
        <v>3223</v>
      </c>
      <c r="D177" s="2949" t="s">
        <v>3290</v>
      </c>
      <c r="E177" s="35">
        <f t="shared" ref="E177:E207" si="119">IF($C$3="是",ROUND($A$3*G177/$B$3,2),ROUND($A$3*(G177-AT177)/$B$3,2))</f>
        <v>104.92</v>
      </c>
      <c r="F177" s="36"/>
      <c r="G177" s="37">
        <f t="shared" si="94"/>
        <v>53.17</v>
      </c>
      <c r="H177" s="38">
        <f t="shared" si="95"/>
        <v>53.17</v>
      </c>
      <c r="I177" s="39">
        <v>53.17</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t="str">
        <f t="shared" ref="AX177:AX207" si="122">C177</f>
        <v>818</v>
      </c>
      <c r="AY177" s="42">
        <f t="shared" si="97"/>
        <v>104.92</v>
      </c>
      <c r="AZ177" s="35">
        <f t="shared" si="98"/>
        <v>53.17</v>
      </c>
      <c r="BA177" s="35">
        <f t="shared" si="99"/>
        <v>53.17</v>
      </c>
      <c r="BB177" s="35">
        <f t="shared" si="100"/>
        <v>53.17</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t="s">
        <v>3224</v>
      </c>
      <c r="D178" s="2949" t="s">
        <v>3290</v>
      </c>
      <c r="E178" s="35">
        <f t="shared" si="119"/>
        <v>104.96</v>
      </c>
      <c r="F178" s="36"/>
      <c r="G178" s="37">
        <f t="shared" si="94"/>
        <v>53.19</v>
      </c>
      <c r="H178" s="38">
        <f t="shared" si="95"/>
        <v>53.19</v>
      </c>
      <c r="I178" s="39">
        <v>53.19</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t="str">
        <f t="shared" si="122"/>
        <v>819</v>
      </c>
      <c r="AY178" s="42">
        <f t="shared" si="97"/>
        <v>104.96</v>
      </c>
      <c r="AZ178" s="35">
        <f t="shared" si="98"/>
        <v>53.19</v>
      </c>
      <c r="BA178" s="35">
        <f t="shared" si="99"/>
        <v>53.19</v>
      </c>
      <c r="BB178" s="35">
        <f t="shared" si="100"/>
        <v>53.19</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t="s">
        <v>3225</v>
      </c>
      <c r="D179" s="2949" t="s">
        <v>3290</v>
      </c>
      <c r="E179" s="35">
        <f t="shared" si="119"/>
        <v>103.65</v>
      </c>
      <c r="F179" s="36"/>
      <c r="G179" s="37">
        <f t="shared" si="94"/>
        <v>52.53</v>
      </c>
      <c r="H179" s="38">
        <f t="shared" si="95"/>
        <v>52.53</v>
      </c>
      <c r="I179" s="39">
        <v>52.53</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t="str">
        <f t="shared" si="122"/>
        <v>820</v>
      </c>
      <c r="AY179" s="42">
        <f t="shared" si="97"/>
        <v>103.65</v>
      </c>
      <c r="AZ179" s="35">
        <f t="shared" si="98"/>
        <v>52.53</v>
      </c>
      <c r="BA179" s="35">
        <f t="shared" si="99"/>
        <v>52.53</v>
      </c>
      <c r="BB179" s="35">
        <f t="shared" si="100"/>
        <v>52.53</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t="s">
        <v>3226</v>
      </c>
      <c r="D180" s="2949" t="s">
        <v>3290</v>
      </c>
      <c r="E180" s="35">
        <f t="shared" si="119"/>
        <v>128.12</v>
      </c>
      <c r="F180" s="36"/>
      <c r="G180" s="37">
        <f t="shared" si="94"/>
        <v>64.930000000000007</v>
      </c>
      <c r="H180" s="38">
        <f t="shared" si="95"/>
        <v>64.930000000000007</v>
      </c>
      <c r="I180" s="39">
        <v>64.930000000000007</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t="str">
        <f t="shared" si="122"/>
        <v>821</v>
      </c>
      <c r="AY180" s="42">
        <f t="shared" si="97"/>
        <v>128.12</v>
      </c>
      <c r="AZ180" s="35">
        <f t="shared" si="98"/>
        <v>64.930000000000007</v>
      </c>
      <c r="BA180" s="35">
        <f t="shared" si="99"/>
        <v>64.930000000000007</v>
      </c>
      <c r="BB180" s="35">
        <f t="shared" si="100"/>
        <v>64.930000000000007</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6" t="s">
        <v>3227</v>
      </c>
      <c r="D181" s="2949" t="s">
        <v>3290</v>
      </c>
      <c r="E181" s="35">
        <f t="shared" si="119"/>
        <v>99.94</v>
      </c>
      <c r="F181" s="36"/>
      <c r="G181" s="37">
        <f t="shared" si="94"/>
        <v>50.65</v>
      </c>
      <c r="H181" s="38">
        <f t="shared" si="95"/>
        <v>50.65</v>
      </c>
      <c r="I181" s="39">
        <v>50.65</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t="str">
        <f t="shared" si="122"/>
        <v>901</v>
      </c>
      <c r="AY181" s="42">
        <f t="shared" si="97"/>
        <v>99.94</v>
      </c>
      <c r="AZ181" s="35">
        <f t="shared" si="98"/>
        <v>50.65</v>
      </c>
      <c r="BA181" s="35">
        <f t="shared" si="99"/>
        <v>50.65</v>
      </c>
      <c r="BB181" s="35">
        <f t="shared" si="100"/>
        <v>50.65</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6" t="s">
        <v>3228</v>
      </c>
      <c r="D182" s="2949" t="s">
        <v>3290</v>
      </c>
      <c r="E182" s="35">
        <f t="shared" si="119"/>
        <v>103.4</v>
      </c>
      <c r="F182" s="36"/>
      <c r="G182" s="37">
        <f t="shared" si="94"/>
        <v>52.4</v>
      </c>
      <c r="H182" s="38">
        <f t="shared" si="95"/>
        <v>52.4</v>
      </c>
      <c r="I182" s="39">
        <v>52.4</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t="str">
        <f t="shared" si="122"/>
        <v>902</v>
      </c>
      <c r="AY182" s="42">
        <f t="shared" si="97"/>
        <v>103.4</v>
      </c>
      <c r="AZ182" s="35">
        <f t="shared" si="98"/>
        <v>52.4</v>
      </c>
      <c r="BA182" s="35">
        <f t="shared" si="99"/>
        <v>52.4</v>
      </c>
      <c r="BB182" s="35">
        <f t="shared" si="100"/>
        <v>52.4</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6" t="s">
        <v>3229</v>
      </c>
      <c r="D183" s="2949" t="s">
        <v>3290</v>
      </c>
      <c r="E183" s="35">
        <f t="shared" si="119"/>
        <v>103.38</v>
      </c>
      <c r="F183" s="36"/>
      <c r="G183" s="37">
        <f t="shared" si="94"/>
        <v>52.39</v>
      </c>
      <c r="H183" s="38">
        <f t="shared" si="95"/>
        <v>52.39</v>
      </c>
      <c r="I183" s="39">
        <v>52.39</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t="str">
        <f t="shared" si="122"/>
        <v>903</v>
      </c>
      <c r="AY183" s="42">
        <f t="shared" si="97"/>
        <v>103.38</v>
      </c>
      <c r="AZ183" s="35">
        <f t="shared" si="98"/>
        <v>52.39</v>
      </c>
      <c r="BA183" s="35">
        <f t="shared" si="99"/>
        <v>52.39</v>
      </c>
      <c r="BB183" s="35">
        <f t="shared" si="100"/>
        <v>52.39</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6" t="s">
        <v>3230</v>
      </c>
      <c r="D184" s="2949" t="s">
        <v>3290</v>
      </c>
      <c r="E184" s="35">
        <f t="shared" si="119"/>
        <v>103.4</v>
      </c>
      <c r="F184" s="36"/>
      <c r="G184" s="37">
        <f t="shared" si="94"/>
        <v>52.4</v>
      </c>
      <c r="H184" s="38">
        <f t="shared" si="95"/>
        <v>52.4</v>
      </c>
      <c r="I184" s="39">
        <v>52.4</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t="str">
        <f t="shared" si="122"/>
        <v>904</v>
      </c>
      <c r="AY184" s="42">
        <f t="shared" si="97"/>
        <v>103.4</v>
      </c>
      <c r="AZ184" s="35">
        <f t="shared" si="98"/>
        <v>52.4</v>
      </c>
      <c r="BA184" s="35">
        <f t="shared" si="99"/>
        <v>52.4</v>
      </c>
      <c r="BB184" s="35">
        <f t="shared" si="100"/>
        <v>52.4</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6" t="s">
        <v>3231</v>
      </c>
      <c r="D185" s="2949" t="s">
        <v>3290</v>
      </c>
      <c r="E185" s="35">
        <f t="shared" si="119"/>
        <v>139.63</v>
      </c>
      <c r="F185" s="36"/>
      <c r="G185" s="37">
        <f t="shared" si="94"/>
        <v>70.760000000000005</v>
      </c>
      <c r="H185" s="38">
        <f t="shared" si="95"/>
        <v>70.760000000000005</v>
      </c>
      <c r="I185" s="39">
        <v>70.760000000000005</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t="str">
        <f t="shared" si="122"/>
        <v>905</v>
      </c>
      <c r="AY185" s="42">
        <f t="shared" si="97"/>
        <v>139.63</v>
      </c>
      <c r="AZ185" s="35">
        <f t="shared" si="98"/>
        <v>70.760000000000005</v>
      </c>
      <c r="BA185" s="35">
        <f t="shared" si="99"/>
        <v>70.760000000000005</v>
      </c>
      <c r="BB185" s="35">
        <f t="shared" si="100"/>
        <v>70.760000000000005</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6" t="s">
        <v>3232</v>
      </c>
      <c r="D186" s="2949" t="s">
        <v>3290</v>
      </c>
      <c r="E186" s="35">
        <f t="shared" si="119"/>
        <v>140.44999999999999</v>
      </c>
      <c r="F186" s="36"/>
      <c r="G186" s="37">
        <f t="shared" si="94"/>
        <v>71.180000000000007</v>
      </c>
      <c r="H186" s="38">
        <f t="shared" si="95"/>
        <v>71.180000000000007</v>
      </c>
      <c r="I186" s="39">
        <v>71.180000000000007</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t="str">
        <f t="shared" si="122"/>
        <v>906</v>
      </c>
      <c r="AY186" s="42">
        <f t="shared" si="97"/>
        <v>140.44999999999999</v>
      </c>
      <c r="AZ186" s="35">
        <f t="shared" si="98"/>
        <v>71.180000000000007</v>
      </c>
      <c r="BA186" s="35">
        <f t="shared" si="99"/>
        <v>71.180000000000007</v>
      </c>
      <c r="BB186" s="35">
        <f t="shared" si="100"/>
        <v>71.180000000000007</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6" t="s">
        <v>3233</v>
      </c>
      <c r="D187" s="2949" t="s">
        <v>3290</v>
      </c>
      <c r="E187" s="35">
        <f t="shared" si="119"/>
        <v>102.61</v>
      </c>
      <c r="F187" s="36"/>
      <c r="G187" s="37">
        <f t="shared" si="94"/>
        <v>52</v>
      </c>
      <c r="H187" s="38">
        <f t="shared" si="95"/>
        <v>52</v>
      </c>
      <c r="I187" s="39">
        <v>52</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t="str">
        <f t="shared" si="122"/>
        <v>907</v>
      </c>
      <c r="AY187" s="42">
        <f t="shared" si="97"/>
        <v>102.61</v>
      </c>
      <c r="AZ187" s="35">
        <f t="shared" si="98"/>
        <v>52</v>
      </c>
      <c r="BA187" s="35">
        <f t="shared" si="99"/>
        <v>52</v>
      </c>
      <c r="BB187" s="35">
        <f t="shared" si="100"/>
        <v>52</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6" t="s">
        <v>3234</v>
      </c>
      <c r="D188" s="2949" t="s">
        <v>3290</v>
      </c>
      <c r="E188" s="35">
        <f t="shared" si="119"/>
        <v>102.75</v>
      </c>
      <c r="F188" s="36"/>
      <c r="G188" s="37">
        <f t="shared" si="94"/>
        <v>52.07</v>
      </c>
      <c r="H188" s="38">
        <f t="shared" si="95"/>
        <v>52.07</v>
      </c>
      <c r="I188" s="39">
        <v>52.07</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t="str">
        <f t="shared" si="122"/>
        <v>908</v>
      </c>
      <c r="AY188" s="42">
        <f t="shared" si="97"/>
        <v>102.75</v>
      </c>
      <c r="AZ188" s="35">
        <f t="shared" si="98"/>
        <v>52.07</v>
      </c>
      <c r="BA188" s="35">
        <f t="shared" si="99"/>
        <v>52.07</v>
      </c>
      <c r="BB188" s="35">
        <f t="shared" si="100"/>
        <v>52.07</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6" t="s">
        <v>3235</v>
      </c>
      <c r="D189" s="2949" t="s">
        <v>3290</v>
      </c>
      <c r="E189" s="35">
        <f t="shared" si="119"/>
        <v>102.69</v>
      </c>
      <c r="F189" s="36"/>
      <c r="G189" s="37">
        <f t="shared" si="94"/>
        <v>52.04</v>
      </c>
      <c r="H189" s="38">
        <f t="shared" si="95"/>
        <v>52.04</v>
      </c>
      <c r="I189" s="39">
        <v>52.04</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t="str">
        <f t="shared" si="122"/>
        <v>909</v>
      </c>
      <c r="AY189" s="42">
        <f t="shared" si="97"/>
        <v>102.69</v>
      </c>
      <c r="AZ189" s="35">
        <f t="shared" si="98"/>
        <v>52.04</v>
      </c>
      <c r="BA189" s="35">
        <f t="shared" si="99"/>
        <v>52.04</v>
      </c>
      <c r="BB189" s="35">
        <f t="shared" si="100"/>
        <v>52.04</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6" t="s">
        <v>3236</v>
      </c>
      <c r="D190" s="2949" t="s">
        <v>3290</v>
      </c>
      <c r="E190" s="35">
        <f t="shared" si="119"/>
        <v>104.01</v>
      </c>
      <c r="F190" s="36"/>
      <c r="G190" s="37">
        <f t="shared" si="94"/>
        <v>52.71</v>
      </c>
      <c r="H190" s="38">
        <f t="shared" si="95"/>
        <v>52.71</v>
      </c>
      <c r="I190" s="39">
        <v>52.71</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t="str">
        <f t="shared" si="122"/>
        <v>910</v>
      </c>
      <c r="AY190" s="42">
        <f t="shared" si="97"/>
        <v>104.01</v>
      </c>
      <c r="AZ190" s="35">
        <f t="shared" si="98"/>
        <v>52.71</v>
      </c>
      <c r="BA190" s="35">
        <f t="shared" si="99"/>
        <v>52.71</v>
      </c>
      <c r="BB190" s="35">
        <f t="shared" si="100"/>
        <v>52.71</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6" t="s">
        <v>3237</v>
      </c>
      <c r="D191" s="2949" t="s">
        <v>3290</v>
      </c>
      <c r="E191" s="35">
        <f t="shared" si="119"/>
        <v>120.21</v>
      </c>
      <c r="F191" s="36"/>
      <c r="G191" s="37">
        <f t="shared" si="94"/>
        <v>60.92</v>
      </c>
      <c r="H191" s="38">
        <f t="shared" si="95"/>
        <v>60.92</v>
      </c>
      <c r="I191" s="39">
        <v>60.92</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t="str">
        <f t="shared" si="122"/>
        <v>911</v>
      </c>
      <c r="AY191" s="42">
        <f t="shared" si="97"/>
        <v>120.21</v>
      </c>
      <c r="AZ191" s="35">
        <f t="shared" si="98"/>
        <v>60.92</v>
      </c>
      <c r="BA191" s="35">
        <f t="shared" si="99"/>
        <v>60.92</v>
      </c>
      <c r="BB191" s="35">
        <f t="shared" si="100"/>
        <v>60.92</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6" t="s">
        <v>3238</v>
      </c>
      <c r="D192" s="2949" t="s">
        <v>3290</v>
      </c>
      <c r="E192" s="35">
        <f t="shared" si="119"/>
        <v>129.19</v>
      </c>
      <c r="F192" s="36"/>
      <c r="G192" s="37">
        <f t="shared" si="94"/>
        <v>65.47</v>
      </c>
      <c r="H192" s="38">
        <f t="shared" si="95"/>
        <v>65.47</v>
      </c>
      <c r="I192" s="39">
        <v>65.47</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t="str">
        <f t="shared" si="122"/>
        <v>912</v>
      </c>
      <c r="AY192" s="42">
        <f t="shared" si="97"/>
        <v>129.19</v>
      </c>
      <c r="AZ192" s="35">
        <f t="shared" si="98"/>
        <v>65.47</v>
      </c>
      <c r="BA192" s="35">
        <f t="shared" si="99"/>
        <v>65.47</v>
      </c>
      <c r="BB192" s="35">
        <f t="shared" si="100"/>
        <v>65.47</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6" t="s">
        <v>3239</v>
      </c>
      <c r="D193" s="2949" t="s">
        <v>3290</v>
      </c>
      <c r="E193" s="35">
        <f t="shared" si="119"/>
        <v>119.04</v>
      </c>
      <c r="F193" s="36"/>
      <c r="G193" s="37">
        <f t="shared" si="94"/>
        <v>60.33</v>
      </c>
      <c r="H193" s="38">
        <f t="shared" si="95"/>
        <v>60.33</v>
      </c>
      <c r="I193" s="39">
        <v>60.33</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t="str">
        <f t="shared" si="122"/>
        <v>913</v>
      </c>
      <c r="AY193" s="42">
        <f t="shared" si="97"/>
        <v>119.04</v>
      </c>
      <c r="AZ193" s="35">
        <f t="shared" si="98"/>
        <v>60.33</v>
      </c>
      <c r="BA193" s="35">
        <f t="shared" si="99"/>
        <v>60.33</v>
      </c>
      <c r="BB193" s="35">
        <f t="shared" si="100"/>
        <v>60.33</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6" t="s">
        <v>3240</v>
      </c>
      <c r="D194" s="2949" t="s">
        <v>3290</v>
      </c>
      <c r="E194" s="35">
        <f t="shared" si="119"/>
        <v>104.15</v>
      </c>
      <c r="F194" s="36"/>
      <c r="G194" s="37">
        <f t="shared" si="94"/>
        <v>52.78</v>
      </c>
      <c r="H194" s="38">
        <f t="shared" si="95"/>
        <v>52.78</v>
      </c>
      <c r="I194" s="39">
        <v>52.78</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t="str">
        <f t="shared" si="122"/>
        <v>914</v>
      </c>
      <c r="AY194" s="42">
        <f t="shared" si="97"/>
        <v>104.15</v>
      </c>
      <c r="AZ194" s="35">
        <f t="shared" si="98"/>
        <v>52.78</v>
      </c>
      <c r="BA194" s="35">
        <f t="shared" si="99"/>
        <v>52.78</v>
      </c>
      <c r="BB194" s="35">
        <f t="shared" si="100"/>
        <v>52.78</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6" t="s">
        <v>3241</v>
      </c>
      <c r="D195" s="2949" t="s">
        <v>3290</v>
      </c>
      <c r="E195" s="35">
        <f t="shared" si="119"/>
        <v>104.03</v>
      </c>
      <c r="F195" s="36"/>
      <c r="G195" s="37">
        <f t="shared" si="94"/>
        <v>52.72</v>
      </c>
      <c r="H195" s="38">
        <f t="shared" si="95"/>
        <v>52.72</v>
      </c>
      <c r="I195" s="39">
        <v>52.72</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t="str">
        <f t="shared" si="122"/>
        <v>915</v>
      </c>
      <c r="AY195" s="42">
        <f t="shared" si="97"/>
        <v>104.03</v>
      </c>
      <c r="AZ195" s="35">
        <f t="shared" si="98"/>
        <v>52.72</v>
      </c>
      <c r="BA195" s="35">
        <f t="shared" si="99"/>
        <v>52.72</v>
      </c>
      <c r="BB195" s="35">
        <f t="shared" si="100"/>
        <v>52.72</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6" t="s">
        <v>3242</v>
      </c>
      <c r="D196" s="2949" t="s">
        <v>3290</v>
      </c>
      <c r="E196" s="35">
        <f t="shared" si="119"/>
        <v>104.03</v>
      </c>
      <c r="F196" s="36"/>
      <c r="G196" s="37">
        <f t="shared" si="94"/>
        <v>52.72</v>
      </c>
      <c r="H196" s="38">
        <f t="shared" si="95"/>
        <v>52.72</v>
      </c>
      <c r="I196" s="39">
        <v>52.72</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t="str">
        <f t="shared" si="122"/>
        <v>916</v>
      </c>
      <c r="AY196" s="42">
        <f t="shared" si="97"/>
        <v>104.03</v>
      </c>
      <c r="AZ196" s="35">
        <f t="shared" si="98"/>
        <v>52.72</v>
      </c>
      <c r="BA196" s="35">
        <f t="shared" si="99"/>
        <v>52.72</v>
      </c>
      <c r="BB196" s="35">
        <f t="shared" si="100"/>
        <v>52.72</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6" t="s">
        <v>3243</v>
      </c>
      <c r="D197" s="2949" t="s">
        <v>3290</v>
      </c>
      <c r="E197" s="35">
        <f t="shared" si="119"/>
        <v>103.97</v>
      </c>
      <c r="F197" s="36"/>
      <c r="G197" s="37">
        <f t="shared" si="94"/>
        <v>52.69</v>
      </c>
      <c r="H197" s="38">
        <f t="shared" si="95"/>
        <v>52.69</v>
      </c>
      <c r="I197" s="39">
        <v>52.69</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t="str">
        <f t="shared" si="122"/>
        <v>917</v>
      </c>
      <c r="AY197" s="42">
        <f t="shared" si="97"/>
        <v>103.97</v>
      </c>
      <c r="AZ197" s="35">
        <f t="shared" si="98"/>
        <v>52.69</v>
      </c>
      <c r="BA197" s="35">
        <f t="shared" si="99"/>
        <v>52.69</v>
      </c>
      <c r="BB197" s="35">
        <f t="shared" si="100"/>
        <v>52.69</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6" t="s">
        <v>3244</v>
      </c>
      <c r="D198" s="2949" t="s">
        <v>3290</v>
      </c>
      <c r="E198" s="35">
        <f t="shared" si="119"/>
        <v>143.16</v>
      </c>
      <c r="F198" s="36"/>
      <c r="G198" s="37">
        <f t="shared" si="94"/>
        <v>72.55</v>
      </c>
      <c r="H198" s="38">
        <f t="shared" si="95"/>
        <v>72.55</v>
      </c>
      <c r="I198" s="39">
        <v>72.55</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t="str">
        <f t="shared" si="122"/>
        <v>918</v>
      </c>
      <c r="AY198" s="42">
        <f t="shared" si="97"/>
        <v>143.16</v>
      </c>
      <c r="AZ198" s="35">
        <f t="shared" si="98"/>
        <v>72.55</v>
      </c>
      <c r="BA198" s="35">
        <f t="shared" si="99"/>
        <v>72.55</v>
      </c>
      <c r="BB198" s="35">
        <f t="shared" si="100"/>
        <v>72.55</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6" t="s">
        <v>3245</v>
      </c>
      <c r="D199" s="2949" t="s">
        <v>3290</v>
      </c>
      <c r="E199" s="35">
        <f t="shared" si="119"/>
        <v>141.93</v>
      </c>
      <c r="F199" s="36"/>
      <c r="G199" s="37">
        <f t="shared" si="94"/>
        <v>71.930000000000007</v>
      </c>
      <c r="H199" s="38">
        <f t="shared" si="95"/>
        <v>71.930000000000007</v>
      </c>
      <c r="I199" s="39">
        <v>71.930000000000007</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t="str">
        <f t="shared" si="122"/>
        <v>919</v>
      </c>
      <c r="AY199" s="42">
        <f t="shared" si="97"/>
        <v>141.93</v>
      </c>
      <c r="AZ199" s="35">
        <f t="shared" si="98"/>
        <v>71.930000000000007</v>
      </c>
      <c r="BA199" s="35">
        <f t="shared" si="99"/>
        <v>71.930000000000007</v>
      </c>
      <c r="BB199" s="35">
        <f t="shared" si="100"/>
        <v>71.930000000000007</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6" t="s">
        <v>3246</v>
      </c>
      <c r="D200" s="2220" t="s">
        <v>3290</v>
      </c>
      <c r="E200" s="35">
        <f t="shared" si="119"/>
        <v>103.97</v>
      </c>
      <c r="F200" s="36"/>
      <c r="G200" s="37">
        <f t="shared" si="94"/>
        <v>52.69</v>
      </c>
      <c r="H200" s="38">
        <f t="shared" si="95"/>
        <v>52.69</v>
      </c>
      <c r="I200" s="39">
        <v>52.69</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t="str">
        <f t="shared" si="122"/>
        <v>920</v>
      </c>
      <c r="AY200" s="42">
        <f t="shared" si="97"/>
        <v>103.97</v>
      </c>
      <c r="AZ200" s="35">
        <f t="shared" si="98"/>
        <v>52.69</v>
      </c>
      <c r="BA200" s="35">
        <f t="shared" si="99"/>
        <v>52.69</v>
      </c>
      <c r="BB200" s="35">
        <f t="shared" si="100"/>
        <v>52.69</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6" t="s">
        <v>3247</v>
      </c>
      <c r="D201" s="2949" t="s">
        <v>3290</v>
      </c>
      <c r="E201" s="35">
        <f t="shared" si="119"/>
        <v>104.03</v>
      </c>
      <c r="F201" s="36"/>
      <c r="G201" s="37">
        <f t="shared" si="94"/>
        <v>52.72</v>
      </c>
      <c r="H201" s="38">
        <f t="shared" si="95"/>
        <v>52.72</v>
      </c>
      <c r="I201" s="39">
        <v>52.72</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t="str">
        <f t="shared" si="122"/>
        <v>921</v>
      </c>
      <c r="AY201" s="42">
        <f t="shared" si="97"/>
        <v>104.03</v>
      </c>
      <c r="AZ201" s="35">
        <f t="shared" si="98"/>
        <v>52.72</v>
      </c>
      <c r="BA201" s="35">
        <f t="shared" si="99"/>
        <v>52.72</v>
      </c>
      <c r="BB201" s="35">
        <f t="shared" si="100"/>
        <v>52.72</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6" t="s">
        <v>3248</v>
      </c>
      <c r="D202" s="2949" t="s">
        <v>3290</v>
      </c>
      <c r="E202" s="35">
        <f t="shared" si="119"/>
        <v>102.73</v>
      </c>
      <c r="F202" s="36"/>
      <c r="G202" s="37">
        <f t="shared" si="94"/>
        <v>52.06</v>
      </c>
      <c r="H202" s="38">
        <f t="shared" si="95"/>
        <v>52.06</v>
      </c>
      <c r="I202" s="39">
        <v>52.06</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t="str">
        <f t="shared" si="122"/>
        <v>922</v>
      </c>
      <c r="AY202" s="42">
        <f t="shared" si="97"/>
        <v>102.73</v>
      </c>
      <c r="AZ202" s="35">
        <f t="shared" si="98"/>
        <v>52.06</v>
      </c>
      <c r="BA202" s="35">
        <f t="shared" si="99"/>
        <v>52.06</v>
      </c>
      <c r="BB202" s="35">
        <f t="shared" si="100"/>
        <v>52.06</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6" t="s">
        <v>3249</v>
      </c>
      <c r="D203" s="2949" t="s">
        <v>3290</v>
      </c>
      <c r="E203" s="35">
        <f t="shared" si="119"/>
        <v>126.98</v>
      </c>
      <c r="F203" s="36"/>
      <c r="G203" s="37">
        <f t="shared" si="94"/>
        <v>64.349999999999994</v>
      </c>
      <c r="H203" s="38">
        <f t="shared" si="95"/>
        <v>64.349999999999994</v>
      </c>
      <c r="I203" s="39">
        <v>64.349999999999994</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t="str">
        <f t="shared" si="122"/>
        <v>923</v>
      </c>
      <c r="AY203" s="42">
        <f t="shared" si="97"/>
        <v>126.98</v>
      </c>
      <c r="AZ203" s="35">
        <f t="shared" si="98"/>
        <v>64.349999999999994</v>
      </c>
      <c r="BA203" s="35">
        <f t="shared" si="99"/>
        <v>64.349999999999994</v>
      </c>
      <c r="BB203" s="35">
        <f t="shared" si="100"/>
        <v>64.349999999999994</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6" t="s">
        <v>3250</v>
      </c>
      <c r="D204" s="2949" t="s">
        <v>3290</v>
      </c>
      <c r="E204" s="35">
        <f t="shared" si="119"/>
        <v>99.94</v>
      </c>
      <c r="F204" s="36"/>
      <c r="G204" s="37">
        <f t="shared" si="94"/>
        <v>50.65</v>
      </c>
      <c r="H204" s="38">
        <f t="shared" si="95"/>
        <v>50.65</v>
      </c>
      <c r="I204" s="39">
        <v>50.65</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t="str">
        <f t="shared" si="122"/>
        <v>1001</v>
      </c>
      <c r="AY204" s="42">
        <f t="shared" si="97"/>
        <v>99.94</v>
      </c>
      <c r="AZ204" s="35">
        <f t="shared" si="98"/>
        <v>50.65</v>
      </c>
      <c r="BA204" s="35">
        <f t="shared" si="99"/>
        <v>50.65</v>
      </c>
      <c r="BB204" s="35">
        <f t="shared" si="100"/>
        <v>50.65</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50" t="s">
        <v>3251</v>
      </c>
      <c r="D205" s="2949" t="s">
        <v>3290</v>
      </c>
      <c r="E205" s="35">
        <f t="shared" si="119"/>
        <v>103.4</v>
      </c>
      <c r="F205" s="44"/>
      <c r="G205" s="37">
        <f t="shared" si="94"/>
        <v>52.4</v>
      </c>
      <c r="H205" s="38">
        <f t="shared" si="95"/>
        <v>52.4</v>
      </c>
      <c r="I205" s="10">
        <v>52.4</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t="str">
        <f t="shared" si="122"/>
        <v>1002</v>
      </c>
      <c r="AY205" s="42">
        <f t="shared" si="97"/>
        <v>103.4</v>
      </c>
      <c r="AZ205" s="35">
        <f t="shared" si="98"/>
        <v>52.4</v>
      </c>
      <c r="BA205" s="35">
        <f t="shared" si="99"/>
        <v>52.4</v>
      </c>
      <c r="BB205" s="35">
        <f t="shared" si="100"/>
        <v>52.4</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50" t="s">
        <v>3252</v>
      </c>
      <c r="D206" s="2949" t="s">
        <v>3290</v>
      </c>
      <c r="E206" s="35">
        <f t="shared" si="119"/>
        <v>103.38</v>
      </c>
      <c r="F206" s="44"/>
      <c r="G206" s="37">
        <f>H206+AC206+AT206</f>
        <v>52.39</v>
      </c>
      <c r="H206" s="38">
        <f>SUMIF(I$12:AB$12,"总值",I206:AB206)</f>
        <v>52.39</v>
      </c>
      <c r="I206" s="39">
        <v>52.39</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t="str">
        <f t="shared" si="122"/>
        <v>1003</v>
      </c>
      <c r="AY206" s="42">
        <f>ROUND($AY$6*AZ206/$AZ$5,2)</f>
        <v>103.38</v>
      </c>
      <c r="AZ206" s="35">
        <f>BA206+BL206</f>
        <v>52.39</v>
      </c>
      <c r="BA206" s="35">
        <f>SUM(BB206:BK206)</f>
        <v>52.39</v>
      </c>
      <c r="BB206" s="35">
        <f t="shared" si="100"/>
        <v>52.39</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50" t="s">
        <v>3253</v>
      </c>
      <c r="D207" s="2949" t="s">
        <v>3290</v>
      </c>
      <c r="E207" s="35">
        <f t="shared" si="119"/>
        <v>103.4</v>
      </c>
      <c r="F207" s="44"/>
      <c r="G207" s="37">
        <f>H207+AC207+AT207</f>
        <v>52.4</v>
      </c>
      <c r="H207" s="38">
        <f>SUMIF(I$12:AB$12,"总值",I207:AB207)</f>
        <v>52.4</v>
      </c>
      <c r="I207" s="39">
        <v>52.4</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t="str">
        <f t="shared" si="122"/>
        <v>1004</v>
      </c>
      <c r="AY207" s="42">
        <f>ROUND($AY$6*AZ207/$AZ$5,2)</f>
        <v>103.4</v>
      </c>
      <c r="AZ207" s="35">
        <f>BA207+BL207</f>
        <v>52.4</v>
      </c>
      <c r="BA207" s="35">
        <f>SUM(BB207:BK207)</f>
        <v>52.4</v>
      </c>
      <c r="BB207" s="35">
        <f t="shared" si="100"/>
        <v>52.4</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6" t="s">
        <v>3254</v>
      </c>
      <c r="D208" s="2949" t="s">
        <v>3290</v>
      </c>
      <c r="E208" s="35">
        <f t="shared" ref="E208:E302" si="123">IF($C$3="是",ROUND($A$3*G208/$B$3,2),ROUND($A$3*(G208-AT208)/$B$3,2))</f>
        <v>139.63</v>
      </c>
      <c r="F208" s="36"/>
      <c r="G208" s="37">
        <f t="shared" ref="G208:G299" si="124">H208+AC208+AT208</f>
        <v>70.760000000000005</v>
      </c>
      <c r="H208" s="38">
        <f t="shared" ref="H208:H299" si="125">SUMIF(I$12:AB$12,"总值",I208:AB208)</f>
        <v>70.760000000000005</v>
      </c>
      <c r="I208" s="39">
        <v>70.760000000000005</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t="str">
        <f t="shared" ref="AX208:AX302" si="129">C208</f>
        <v>1005</v>
      </c>
      <c r="AY208" s="42">
        <f t="shared" ref="AY208:AY299" si="130">ROUND($AY$6*AZ208/$AZ$5,2)</f>
        <v>139.63</v>
      </c>
      <c r="AZ208" s="35">
        <f t="shared" ref="AZ208:AZ299" si="131">BA208+BL208</f>
        <v>70.760000000000005</v>
      </c>
      <c r="BA208" s="35">
        <f t="shared" ref="BA208:BA299" si="132">SUM(BB208:BK208)</f>
        <v>70.760000000000005</v>
      </c>
      <c r="BB208" s="35">
        <f t="shared" ref="BB208:BB299" si="133">IF($D208="是",I208-J208,0)</f>
        <v>70.760000000000005</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6" t="s">
        <v>3255</v>
      </c>
      <c r="D209" s="2949" t="s">
        <v>3290</v>
      </c>
      <c r="E209" s="35">
        <f t="shared" si="123"/>
        <v>140.44999999999999</v>
      </c>
      <c r="F209" s="36"/>
      <c r="G209" s="37">
        <f t="shared" si="124"/>
        <v>71.180000000000007</v>
      </c>
      <c r="H209" s="38">
        <f t="shared" si="125"/>
        <v>71.180000000000007</v>
      </c>
      <c r="I209" s="39">
        <v>71.180000000000007</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t="str">
        <f t="shared" si="129"/>
        <v>1006</v>
      </c>
      <c r="AY209" s="42">
        <f t="shared" si="130"/>
        <v>140.44999999999999</v>
      </c>
      <c r="AZ209" s="35">
        <f t="shared" si="131"/>
        <v>71.180000000000007</v>
      </c>
      <c r="BA209" s="35">
        <f t="shared" si="132"/>
        <v>71.180000000000007</v>
      </c>
      <c r="BB209" s="35">
        <f t="shared" si="133"/>
        <v>71.180000000000007</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6" t="s">
        <v>3256</v>
      </c>
      <c r="D210" s="2949" t="s">
        <v>3290</v>
      </c>
      <c r="E210" s="35">
        <f t="shared" si="123"/>
        <v>102.61</v>
      </c>
      <c r="F210" s="36"/>
      <c r="G210" s="37">
        <f t="shared" si="124"/>
        <v>52</v>
      </c>
      <c r="H210" s="38">
        <f t="shared" si="125"/>
        <v>52</v>
      </c>
      <c r="I210" s="39">
        <v>52</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t="str">
        <f t="shared" si="129"/>
        <v>1007</v>
      </c>
      <c r="AY210" s="42">
        <f t="shared" si="130"/>
        <v>102.61</v>
      </c>
      <c r="AZ210" s="35">
        <f t="shared" si="131"/>
        <v>52</v>
      </c>
      <c r="BA210" s="35">
        <f t="shared" si="132"/>
        <v>52</v>
      </c>
      <c r="BB210" s="35">
        <f t="shared" si="133"/>
        <v>52</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6" t="s">
        <v>3257</v>
      </c>
      <c r="D211" s="2949" t="s">
        <v>3290</v>
      </c>
      <c r="E211" s="35">
        <f t="shared" si="123"/>
        <v>102.75</v>
      </c>
      <c r="F211" s="36"/>
      <c r="G211" s="37">
        <f t="shared" si="124"/>
        <v>52.07</v>
      </c>
      <c r="H211" s="38">
        <f t="shared" si="125"/>
        <v>52.07</v>
      </c>
      <c r="I211" s="39">
        <v>52.07</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t="str">
        <f t="shared" si="129"/>
        <v>1008</v>
      </c>
      <c r="AY211" s="42">
        <f t="shared" si="130"/>
        <v>102.75</v>
      </c>
      <c r="AZ211" s="35">
        <f t="shared" si="131"/>
        <v>52.07</v>
      </c>
      <c r="BA211" s="35">
        <f t="shared" si="132"/>
        <v>52.07</v>
      </c>
      <c r="BB211" s="35">
        <f t="shared" si="133"/>
        <v>52.07</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6" t="s">
        <v>3258</v>
      </c>
      <c r="D212" s="2949" t="s">
        <v>3290</v>
      </c>
      <c r="E212" s="35">
        <f t="shared" si="123"/>
        <v>102.69</v>
      </c>
      <c r="F212" s="36"/>
      <c r="G212" s="37">
        <f t="shared" si="124"/>
        <v>52.04</v>
      </c>
      <c r="H212" s="38">
        <f t="shared" si="125"/>
        <v>52.04</v>
      </c>
      <c r="I212" s="39">
        <v>52.04</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t="str">
        <f t="shared" si="129"/>
        <v>1009</v>
      </c>
      <c r="AY212" s="42">
        <f t="shared" si="130"/>
        <v>102.69</v>
      </c>
      <c r="AZ212" s="35">
        <f t="shared" si="131"/>
        <v>52.04</v>
      </c>
      <c r="BA212" s="35">
        <f t="shared" si="132"/>
        <v>52.04</v>
      </c>
      <c r="BB212" s="35">
        <f t="shared" si="133"/>
        <v>52.04</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6" t="s">
        <v>3259</v>
      </c>
      <c r="D213" s="2949" t="s">
        <v>3290</v>
      </c>
      <c r="E213" s="35">
        <f t="shared" si="123"/>
        <v>104.01</v>
      </c>
      <c r="F213" s="36"/>
      <c r="G213" s="37">
        <f t="shared" si="124"/>
        <v>52.71</v>
      </c>
      <c r="H213" s="38">
        <f t="shared" si="125"/>
        <v>52.71</v>
      </c>
      <c r="I213" s="39">
        <v>52.71</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t="str">
        <f t="shared" si="129"/>
        <v>1010</v>
      </c>
      <c r="AY213" s="42">
        <f t="shared" si="130"/>
        <v>104.01</v>
      </c>
      <c r="AZ213" s="35">
        <f t="shared" si="131"/>
        <v>52.71</v>
      </c>
      <c r="BA213" s="35">
        <f t="shared" si="132"/>
        <v>52.71</v>
      </c>
      <c r="BB213" s="35">
        <f t="shared" si="133"/>
        <v>52.71</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6" t="s">
        <v>3260</v>
      </c>
      <c r="D214" s="2949" t="s">
        <v>3290</v>
      </c>
      <c r="E214" s="35">
        <f t="shared" si="123"/>
        <v>120.21</v>
      </c>
      <c r="F214" s="36"/>
      <c r="G214" s="37">
        <f t="shared" si="124"/>
        <v>60.92</v>
      </c>
      <c r="H214" s="38">
        <f t="shared" si="125"/>
        <v>60.92</v>
      </c>
      <c r="I214" s="39">
        <v>60.92</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t="str">
        <f t="shared" si="129"/>
        <v>1011</v>
      </c>
      <c r="AY214" s="42">
        <f t="shared" si="130"/>
        <v>120.21</v>
      </c>
      <c r="AZ214" s="35">
        <f t="shared" si="131"/>
        <v>60.92</v>
      </c>
      <c r="BA214" s="35">
        <f t="shared" si="132"/>
        <v>60.92</v>
      </c>
      <c r="BB214" s="35">
        <f t="shared" si="133"/>
        <v>60.92</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6" t="s">
        <v>3261</v>
      </c>
      <c r="D215" s="2949" t="s">
        <v>3290</v>
      </c>
      <c r="E215" s="35">
        <f t="shared" si="123"/>
        <v>129.19</v>
      </c>
      <c r="F215" s="36"/>
      <c r="G215" s="37">
        <f t="shared" si="124"/>
        <v>65.47</v>
      </c>
      <c r="H215" s="38">
        <f t="shared" si="125"/>
        <v>65.47</v>
      </c>
      <c r="I215" s="39">
        <v>65.47</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t="str">
        <f t="shared" si="129"/>
        <v>1012</v>
      </c>
      <c r="AY215" s="42">
        <f t="shared" si="130"/>
        <v>129.19</v>
      </c>
      <c r="AZ215" s="35">
        <f t="shared" si="131"/>
        <v>65.47</v>
      </c>
      <c r="BA215" s="35">
        <f t="shared" si="132"/>
        <v>65.47</v>
      </c>
      <c r="BB215" s="35">
        <f t="shared" si="133"/>
        <v>65.47</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6" t="s">
        <v>3262</v>
      </c>
      <c r="D216" s="2949" t="s">
        <v>3290</v>
      </c>
      <c r="E216" s="35">
        <f t="shared" si="123"/>
        <v>119.04</v>
      </c>
      <c r="F216" s="36"/>
      <c r="G216" s="37">
        <f t="shared" si="124"/>
        <v>60.33</v>
      </c>
      <c r="H216" s="38">
        <f t="shared" si="125"/>
        <v>60.33</v>
      </c>
      <c r="I216" s="39">
        <v>60.33</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t="str">
        <f t="shared" si="129"/>
        <v>1013</v>
      </c>
      <c r="AY216" s="42">
        <f t="shared" si="130"/>
        <v>119.04</v>
      </c>
      <c r="AZ216" s="35">
        <f t="shared" si="131"/>
        <v>60.33</v>
      </c>
      <c r="BA216" s="35">
        <f t="shared" si="132"/>
        <v>60.33</v>
      </c>
      <c r="BB216" s="35">
        <f t="shared" si="133"/>
        <v>60.33</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6" t="s">
        <v>3263</v>
      </c>
      <c r="D217" s="2949" t="s">
        <v>3290</v>
      </c>
      <c r="E217" s="35">
        <f t="shared" si="123"/>
        <v>104.15</v>
      </c>
      <c r="F217" s="36"/>
      <c r="G217" s="37">
        <f t="shared" si="124"/>
        <v>52.78</v>
      </c>
      <c r="H217" s="38">
        <f t="shared" si="125"/>
        <v>52.78</v>
      </c>
      <c r="I217" s="39">
        <v>52.78</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t="str">
        <f t="shared" si="129"/>
        <v>1014</v>
      </c>
      <c r="AY217" s="42">
        <f t="shared" si="130"/>
        <v>104.15</v>
      </c>
      <c r="AZ217" s="35">
        <f t="shared" si="131"/>
        <v>52.78</v>
      </c>
      <c r="BA217" s="35">
        <f t="shared" si="132"/>
        <v>52.78</v>
      </c>
      <c r="BB217" s="35">
        <f t="shared" si="133"/>
        <v>52.78</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6" t="s">
        <v>3264</v>
      </c>
      <c r="D218" s="2949" t="s">
        <v>3290</v>
      </c>
      <c r="E218" s="35">
        <f t="shared" si="123"/>
        <v>104.03</v>
      </c>
      <c r="F218" s="36"/>
      <c r="G218" s="37">
        <f t="shared" si="124"/>
        <v>52.72</v>
      </c>
      <c r="H218" s="38">
        <f t="shared" si="125"/>
        <v>52.72</v>
      </c>
      <c r="I218" s="39">
        <v>52.72</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t="str">
        <f t="shared" si="129"/>
        <v>1015</v>
      </c>
      <c r="AY218" s="42">
        <f t="shared" si="130"/>
        <v>104.03</v>
      </c>
      <c r="AZ218" s="35">
        <f t="shared" si="131"/>
        <v>52.72</v>
      </c>
      <c r="BA218" s="35">
        <f t="shared" si="132"/>
        <v>52.72</v>
      </c>
      <c r="BB218" s="35">
        <f t="shared" si="133"/>
        <v>52.72</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6" t="s">
        <v>3265</v>
      </c>
      <c r="D219" s="2949" t="s">
        <v>3290</v>
      </c>
      <c r="E219" s="35">
        <f t="shared" si="123"/>
        <v>104.03</v>
      </c>
      <c r="F219" s="36"/>
      <c r="G219" s="37">
        <f t="shared" si="124"/>
        <v>52.72</v>
      </c>
      <c r="H219" s="38">
        <f t="shared" si="125"/>
        <v>52.72</v>
      </c>
      <c r="I219" s="39">
        <v>52.72</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t="str">
        <f t="shared" si="129"/>
        <v>1016</v>
      </c>
      <c r="AY219" s="42">
        <f t="shared" si="130"/>
        <v>104.03</v>
      </c>
      <c r="AZ219" s="35">
        <f t="shared" si="131"/>
        <v>52.72</v>
      </c>
      <c r="BA219" s="35">
        <f t="shared" si="132"/>
        <v>52.72</v>
      </c>
      <c r="BB219" s="35">
        <f t="shared" si="133"/>
        <v>52.72</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6" t="s">
        <v>3266</v>
      </c>
      <c r="D220" s="2949" t="s">
        <v>3290</v>
      </c>
      <c r="E220" s="35">
        <f t="shared" si="123"/>
        <v>103.97</v>
      </c>
      <c r="F220" s="36"/>
      <c r="G220" s="37">
        <f t="shared" si="124"/>
        <v>52.69</v>
      </c>
      <c r="H220" s="38">
        <f t="shared" si="125"/>
        <v>52.69</v>
      </c>
      <c r="I220" s="39">
        <v>52.69</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t="str">
        <f t="shared" si="129"/>
        <v>1017</v>
      </c>
      <c r="AY220" s="42">
        <f t="shared" si="130"/>
        <v>103.97</v>
      </c>
      <c r="AZ220" s="35">
        <f t="shared" si="131"/>
        <v>52.69</v>
      </c>
      <c r="BA220" s="35">
        <f t="shared" si="132"/>
        <v>52.69</v>
      </c>
      <c r="BB220" s="35">
        <f t="shared" si="133"/>
        <v>52.69</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6" t="s">
        <v>3267</v>
      </c>
      <c r="D221" s="2949" t="s">
        <v>3290</v>
      </c>
      <c r="E221" s="35">
        <f t="shared" si="123"/>
        <v>143.16</v>
      </c>
      <c r="F221" s="36"/>
      <c r="G221" s="37">
        <f t="shared" si="124"/>
        <v>72.55</v>
      </c>
      <c r="H221" s="38">
        <f t="shared" si="125"/>
        <v>72.55</v>
      </c>
      <c r="I221" s="39">
        <v>72.55</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t="str">
        <f t="shared" si="129"/>
        <v>1018</v>
      </c>
      <c r="AY221" s="42">
        <f t="shared" si="130"/>
        <v>143.16</v>
      </c>
      <c r="AZ221" s="35">
        <f t="shared" si="131"/>
        <v>72.55</v>
      </c>
      <c r="BA221" s="35">
        <f t="shared" si="132"/>
        <v>72.55</v>
      </c>
      <c r="BB221" s="35">
        <f t="shared" si="133"/>
        <v>72.55</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6" t="s">
        <v>3268</v>
      </c>
      <c r="D222" s="2949" t="s">
        <v>3290</v>
      </c>
      <c r="E222" s="35">
        <f t="shared" si="123"/>
        <v>141.93</v>
      </c>
      <c r="F222" s="36"/>
      <c r="G222" s="37">
        <f t="shared" si="124"/>
        <v>71.930000000000007</v>
      </c>
      <c r="H222" s="38">
        <f t="shared" si="125"/>
        <v>71.930000000000007</v>
      </c>
      <c r="I222" s="39">
        <v>71.930000000000007</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t="str">
        <f t="shared" si="129"/>
        <v>1019</v>
      </c>
      <c r="AY222" s="42">
        <f t="shared" si="130"/>
        <v>141.93</v>
      </c>
      <c r="AZ222" s="35">
        <f t="shared" si="131"/>
        <v>71.930000000000007</v>
      </c>
      <c r="BA222" s="35">
        <f t="shared" si="132"/>
        <v>71.930000000000007</v>
      </c>
      <c r="BB222" s="35">
        <f t="shared" si="133"/>
        <v>71.930000000000007</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6" t="s">
        <v>3269</v>
      </c>
      <c r="D223" s="2949" t="s">
        <v>3290</v>
      </c>
      <c r="E223" s="35">
        <f t="shared" si="123"/>
        <v>103.97</v>
      </c>
      <c r="F223" s="36"/>
      <c r="G223" s="37">
        <f t="shared" si="124"/>
        <v>52.69</v>
      </c>
      <c r="H223" s="38">
        <f t="shared" si="125"/>
        <v>52.69</v>
      </c>
      <c r="I223" s="39">
        <v>52.69</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t="str">
        <f t="shared" si="129"/>
        <v>1020</v>
      </c>
      <c r="AY223" s="42">
        <f t="shared" si="130"/>
        <v>103.97</v>
      </c>
      <c r="AZ223" s="35">
        <f t="shared" si="131"/>
        <v>52.69</v>
      </c>
      <c r="BA223" s="35">
        <f t="shared" si="132"/>
        <v>52.69</v>
      </c>
      <c r="BB223" s="35">
        <f t="shared" si="133"/>
        <v>52.69</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6" t="s">
        <v>3270</v>
      </c>
      <c r="D224" s="2949" t="s">
        <v>3290</v>
      </c>
      <c r="E224" s="35">
        <f t="shared" si="123"/>
        <v>104.03</v>
      </c>
      <c r="F224" s="36"/>
      <c r="G224" s="37">
        <f t="shared" si="124"/>
        <v>52.72</v>
      </c>
      <c r="H224" s="38">
        <f t="shared" si="125"/>
        <v>52.72</v>
      </c>
      <c r="I224" s="39">
        <v>52.72</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t="str">
        <f t="shared" si="129"/>
        <v>1021</v>
      </c>
      <c r="AY224" s="42">
        <f t="shared" si="130"/>
        <v>104.03</v>
      </c>
      <c r="AZ224" s="35">
        <f t="shared" si="131"/>
        <v>52.72</v>
      </c>
      <c r="BA224" s="35">
        <f t="shared" si="132"/>
        <v>52.72</v>
      </c>
      <c r="BB224" s="35">
        <f t="shared" si="133"/>
        <v>52.72</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6" t="s">
        <v>3271</v>
      </c>
      <c r="D225" s="2949" t="s">
        <v>3290</v>
      </c>
      <c r="E225" s="35">
        <f t="shared" si="123"/>
        <v>102.73</v>
      </c>
      <c r="F225" s="36"/>
      <c r="G225" s="37">
        <f t="shared" si="124"/>
        <v>52.06</v>
      </c>
      <c r="H225" s="38">
        <f t="shared" si="125"/>
        <v>52.06</v>
      </c>
      <c r="I225" s="39">
        <v>52.06</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t="str">
        <f t="shared" si="129"/>
        <v>1022</v>
      </c>
      <c r="AY225" s="42">
        <f t="shared" si="130"/>
        <v>102.73</v>
      </c>
      <c r="AZ225" s="35">
        <f t="shared" si="131"/>
        <v>52.06</v>
      </c>
      <c r="BA225" s="35">
        <f t="shared" si="132"/>
        <v>52.06</v>
      </c>
      <c r="BB225" s="35">
        <f t="shared" si="133"/>
        <v>52.06</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6" t="s">
        <v>3272</v>
      </c>
      <c r="D226" s="2949" t="s">
        <v>3290</v>
      </c>
      <c r="E226" s="35">
        <f t="shared" si="123"/>
        <v>126.98</v>
      </c>
      <c r="F226" s="36"/>
      <c r="G226" s="37">
        <f t="shared" si="124"/>
        <v>64.349999999999994</v>
      </c>
      <c r="H226" s="38">
        <f t="shared" si="125"/>
        <v>64.349999999999994</v>
      </c>
      <c r="I226" s="39">
        <v>64.349999999999994</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t="str">
        <f t="shared" si="129"/>
        <v>1023</v>
      </c>
      <c r="AY226" s="42">
        <f t="shared" si="130"/>
        <v>126.98</v>
      </c>
      <c r="AZ226" s="35">
        <f t="shared" si="131"/>
        <v>64.349999999999994</v>
      </c>
      <c r="BA226" s="35">
        <f t="shared" si="132"/>
        <v>64.349999999999994</v>
      </c>
      <c r="BB226" s="35">
        <f t="shared" si="133"/>
        <v>64.349999999999994</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6" t="s">
        <v>3273</v>
      </c>
      <c r="D227" s="2949" t="s">
        <v>3290</v>
      </c>
      <c r="E227" s="35">
        <f t="shared" si="123"/>
        <v>101.64</v>
      </c>
      <c r="F227" s="36"/>
      <c r="G227" s="37">
        <f t="shared" si="124"/>
        <v>51.51</v>
      </c>
      <c r="H227" s="38">
        <f t="shared" si="125"/>
        <v>51.51</v>
      </c>
      <c r="I227" s="39">
        <v>51.51</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t="str">
        <f t="shared" si="129"/>
        <v>1101</v>
      </c>
      <c r="AY227" s="42">
        <f t="shared" si="130"/>
        <v>101.64</v>
      </c>
      <c r="AZ227" s="35">
        <f t="shared" si="131"/>
        <v>51.51</v>
      </c>
      <c r="BA227" s="35">
        <f t="shared" si="132"/>
        <v>51.51</v>
      </c>
      <c r="BB227" s="35">
        <f t="shared" si="133"/>
        <v>51.51</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6" t="s">
        <v>3274</v>
      </c>
      <c r="D228" s="2949" t="s">
        <v>3290</v>
      </c>
      <c r="E228" s="35">
        <f t="shared" si="123"/>
        <v>105.17</v>
      </c>
      <c r="F228" s="36"/>
      <c r="G228" s="37">
        <f t="shared" si="124"/>
        <v>53.3</v>
      </c>
      <c r="H228" s="38">
        <f t="shared" si="125"/>
        <v>53.3</v>
      </c>
      <c r="I228" s="39">
        <v>53.3</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t="str">
        <f t="shared" si="129"/>
        <v>1102</v>
      </c>
      <c r="AY228" s="42">
        <f t="shared" si="130"/>
        <v>105.17</v>
      </c>
      <c r="AZ228" s="35">
        <f t="shared" si="131"/>
        <v>53.3</v>
      </c>
      <c r="BA228" s="35">
        <f t="shared" si="132"/>
        <v>53.3</v>
      </c>
      <c r="BB228" s="35">
        <f t="shared" si="133"/>
        <v>53.3</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6" t="s">
        <v>3275</v>
      </c>
      <c r="D229" s="2949" t="s">
        <v>3290</v>
      </c>
      <c r="E229" s="35">
        <f t="shared" si="123"/>
        <v>105.13</v>
      </c>
      <c r="F229" s="36"/>
      <c r="G229" s="37">
        <f t="shared" si="124"/>
        <v>53.28</v>
      </c>
      <c r="H229" s="38">
        <f t="shared" si="125"/>
        <v>53.28</v>
      </c>
      <c r="I229" s="39">
        <v>53.28</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t="str">
        <f t="shared" si="129"/>
        <v>1103</v>
      </c>
      <c r="AY229" s="42">
        <f t="shared" si="130"/>
        <v>105.13</v>
      </c>
      <c r="AZ229" s="35">
        <f t="shared" si="131"/>
        <v>53.28</v>
      </c>
      <c r="BA229" s="35">
        <f t="shared" si="132"/>
        <v>53.28</v>
      </c>
      <c r="BB229" s="35">
        <f t="shared" si="133"/>
        <v>53.28</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6" t="s">
        <v>3276</v>
      </c>
      <c r="D230" s="2949" t="s">
        <v>3290</v>
      </c>
      <c r="E230" s="35">
        <f t="shared" si="123"/>
        <v>105.17</v>
      </c>
      <c r="F230" s="36"/>
      <c r="G230" s="37">
        <f t="shared" si="124"/>
        <v>53.3</v>
      </c>
      <c r="H230" s="38">
        <f t="shared" si="125"/>
        <v>53.3</v>
      </c>
      <c r="I230" s="39">
        <v>53.3</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t="str">
        <f t="shared" si="129"/>
        <v>1104</v>
      </c>
      <c r="AY230" s="42">
        <f t="shared" si="130"/>
        <v>105.17</v>
      </c>
      <c r="AZ230" s="35">
        <f t="shared" si="131"/>
        <v>53.3</v>
      </c>
      <c r="BA230" s="35">
        <f t="shared" si="132"/>
        <v>53.3</v>
      </c>
      <c r="BB230" s="35">
        <f t="shared" si="133"/>
        <v>53.3</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6" t="s">
        <v>3277</v>
      </c>
      <c r="D231" s="2949" t="s">
        <v>3290</v>
      </c>
      <c r="E231" s="35">
        <f t="shared" si="123"/>
        <v>142.01</v>
      </c>
      <c r="F231" s="36"/>
      <c r="G231" s="37">
        <f t="shared" si="124"/>
        <v>71.97</v>
      </c>
      <c r="H231" s="38">
        <f t="shared" si="125"/>
        <v>71.97</v>
      </c>
      <c r="I231" s="39">
        <v>71.97</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t="str">
        <f t="shared" si="129"/>
        <v>1105</v>
      </c>
      <c r="AY231" s="42">
        <f t="shared" si="130"/>
        <v>142.01</v>
      </c>
      <c r="AZ231" s="35">
        <f t="shared" si="131"/>
        <v>71.97</v>
      </c>
      <c r="BA231" s="35">
        <f t="shared" si="132"/>
        <v>71.97</v>
      </c>
      <c r="BB231" s="35">
        <f t="shared" si="133"/>
        <v>71.97</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6" t="s">
        <v>3278</v>
      </c>
      <c r="D232" s="2949" t="s">
        <v>3290</v>
      </c>
      <c r="E232" s="35">
        <f t="shared" si="123"/>
        <v>142.84</v>
      </c>
      <c r="F232" s="36"/>
      <c r="G232" s="37">
        <f t="shared" si="124"/>
        <v>72.39</v>
      </c>
      <c r="H232" s="38">
        <f t="shared" si="125"/>
        <v>72.39</v>
      </c>
      <c r="I232" s="39">
        <v>72.39</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t="str">
        <f t="shared" si="129"/>
        <v>1106</v>
      </c>
      <c r="AY232" s="42">
        <f t="shared" si="130"/>
        <v>142.84</v>
      </c>
      <c r="AZ232" s="35">
        <f t="shared" si="131"/>
        <v>72.39</v>
      </c>
      <c r="BA232" s="35">
        <f t="shared" si="132"/>
        <v>72.39</v>
      </c>
      <c r="BB232" s="35">
        <f t="shared" si="133"/>
        <v>72.39</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6" t="s">
        <v>3279</v>
      </c>
      <c r="D233" s="2949" t="s">
        <v>3290</v>
      </c>
      <c r="E233" s="35">
        <f t="shared" si="123"/>
        <v>104.36</v>
      </c>
      <c r="F233" s="36"/>
      <c r="G233" s="37">
        <f t="shared" si="124"/>
        <v>52.89</v>
      </c>
      <c r="H233" s="38">
        <f t="shared" si="125"/>
        <v>52.89</v>
      </c>
      <c r="I233" s="39">
        <v>52.89</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t="str">
        <f t="shared" si="129"/>
        <v>1107</v>
      </c>
      <c r="AY233" s="42">
        <f t="shared" si="130"/>
        <v>104.36</v>
      </c>
      <c r="AZ233" s="35">
        <f t="shared" si="131"/>
        <v>52.89</v>
      </c>
      <c r="BA233" s="35">
        <f t="shared" si="132"/>
        <v>52.89</v>
      </c>
      <c r="BB233" s="35">
        <f t="shared" si="133"/>
        <v>52.89</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6" t="s">
        <v>3280</v>
      </c>
      <c r="D234" s="2949" t="s">
        <v>3290</v>
      </c>
      <c r="E234" s="35">
        <f t="shared" si="123"/>
        <v>104.5</v>
      </c>
      <c r="F234" s="36"/>
      <c r="G234" s="37">
        <f t="shared" si="124"/>
        <v>52.96</v>
      </c>
      <c r="H234" s="38">
        <f t="shared" si="125"/>
        <v>52.96</v>
      </c>
      <c r="I234" s="39">
        <v>52.96</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t="str">
        <f t="shared" si="129"/>
        <v>1108</v>
      </c>
      <c r="AY234" s="42">
        <f t="shared" si="130"/>
        <v>104.5</v>
      </c>
      <c r="AZ234" s="35">
        <f t="shared" si="131"/>
        <v>52.96</v>
      </c>
      <c r="BA234" s="35">
        <f t="shared" si="132"/>
        <v>52.96</v>
      </c>
      <c r="BB234" s="35">
        <f t="shared" si="133"/>
        <v>52.96</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6" t="s">
        <v>3281</v>
      </c>
      <c r="D235" s="2949" t="s">
        <v>3290</v>
      </c>
      <c r="E235" s="35">
        <f t="shared" si="123"/>
        <v>104.44</v>
      </c>
      <c r="F235" s="36"/>
      <c r="G235" s="37">
        <f t="shared" si="124"/>
        <v>52.93</v>
      </c>
      <c r="H235" s="38">
        <f t="shared" si="125"/>
        <v>52.93</v>
      </c>
      <c r="I235" s="39">
        <v>52.93</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t="str">
        <f t="shared" si="129"/>
        <v>1109</v>
      </c>
      <c r="AY235" s="42">
        <f t="shared" si="130"/>
        <v>104.44</v>
      </c>
      <c r="AZ235" s="35">
        <f t="shared" si="131"/>
        <v>52.93</v>
      </c>
      <c r="BA235" s="35">
        <f t="shared" si="132"/>
        <v>52.93</v>
      </c>
      <c r="BB235" s="35">
        <f t="shared" si="133"/>
        <v>52.93</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6" t="s">
        <v>3282</v>
      </c>
      <c r="D236" s="2949" t="s">
        <v>3290</v>
      </c>
      <c r="E236" s="35">
        <f t="shared" si="123"/>
        <v>105.78</v>
      </c>
      <c r="F236" s="36"/>
      <c r="G236" s="37">
        <f t="shared" si="124"/>
        <v>53.61</v>
      </c>
      <c r="H236" s="38">
        <f t="shared" si="125"/>
        <v>53.61</v>
      </c>
      <c r="I236" s="39">
        <v>53.61</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t="str">
        <f t="shared" si="129"/>
        <v>1110</v>
      </c>
      <c r="AY236" s="42">
        <f t="shared" si="130"/>
        <v>105.78</v>
      </c>
      <c r="AZ236" s="35">
        <f t="shared" si="131"/>
        <v>53.61</v>
      </c>
      <c r="BA236" s="35">
        <f t="shared" si="132"/>
        <v>53.61</v>
      </c>
      <c r="BB236" s="35">
        <f t="shared" si="133"/>
        <v>53.61</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6" t="s">
        <v>3283</v>
      </c>
      <c r="D237" s="2949" t="s">
        <v>3290</v>
      </c>
      <c r="E237" s="35">
        <f t="shared" si="123"/>
        <v>122.26</v>
      </c>
      <c r="F237" s="36"/>
      <c r="G237" s="37">
        <f t="shared" si="124"/>
        <v>61.96</v>
      </c>
      <c r="H237" s="38">
        <f t="shared" si="125"/>
        <v>61.96</v>
      </c>
      <c r="I237" s="39">
        <v>61.96</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t="str">
        <f t="shared" si="129"/>
        <v>1111</v>
      </c>
      <c r="AY237" s="42">
        <f t="shared" si="130"/>
        <v>122.26</v>
      </c>
      <c r="AZ237" s="35">
        <f t="shared" si="131"/>
        <v>61.96</v>
      </c>
      <c r="BA237" s="35">
        <f t="shared" si="132"/>
        <v>61.96</v>
      </c>
      <c r="BB237" s="35">
        <f t="shared" si="133"/>
        <v>61.96</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6" t="s">
        <v>3284</v>
      </c>
      <c r="D238" s="2949" t="s">
        <v>3290</v>
      </c>
      <c r="E238" s="35">
        <f t="shared" si="123"/>
        <v>131.54</v>
      </c>
      <c r="F238" s="36"/>
      <c r="G238" s="37">
        <f t="shared" si="124"/>
        <v>66.66</v>
      </c>
      <c r="H238" s="38">
        <f t="shared" si="125"/>
        <v>66.66</v>
      </c>
      <c r="I238" s="39">
        <v>66.66</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t="str">
        <f t="shared" si="129"/>
        <v>1112</v>
      </c>
      <c r="AY238" s="42">
        <f t="shared" si="130"/>
        <v>131.54</v>
      </c>
      <c r="AZ238" s="35">
        <f t="shared" si="131"/>
        <v>66.66</v>
      </c>
      <c r="BA238" s="35">
        <f t="shared" si="132"/>
        <v>66.66</v>
      </c>
      <c r="BB238" s="35">
        <f t="shared" si="133"/>
        <v>66.66</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6"/>
      <c r="D239" s="2949" t="s">
        <v>3290</v>
      </c>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6"/>
      <c r="D240" s="2949" t="s">
        <v>3290</v>
      </c>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6"/>
      <c r="D241" s="2949" t="s">
        <v>3290</v>
      </c>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6"/>
      <c r="D242" s="2949" t="s">
        <v>3290</v>
      </c>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6"/>
      <c r="D243" s="2949" t="s">
        <v>3290</v>
      </c>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6"/>
      <c r="D244" s="2949" t="s">
        <v>3290</v>
      </c>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6"/>
      <c r="D245" s="2949" t="s">
        <v>3290</v>
      </c>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6"/>
      <c r="D246" s="2949" t="s">
        <v>3290</v>
      </c>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6"/>
      <c r="D247" s="2949" t="s">
        <v>3290</v>
      </c>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6"/>
      <c r="D248" s="2949" t="s">
        <v>3290</v>
      </c>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6"/>
      <c r="D249" s="2949" t="s">
        <v>3290</v>
      </c>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6"/>
      <c r="D250" s="2949" t="s">
        <v>3290</v>
      </c>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6"/>
      <c r="D251" s="2949" t="s">
        <v>3290</v>
      </c>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6"/>
      <c r="D252" s="2949" t="s">
        <v>3290</v>
      </c>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6"/>
      <c r="D253" s="2949" t="s">
        <v>3290</v>
      </c>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6"/>
      <c r="D254" s="2949" t="s">
        <v>3290</v>
      </c>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6"/>
      <c r="D255" s="2949" t="s">
        <v>3290</v>
      </c>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6"/>
      <c r="D256" s="2949" t="s">
        <v>3290</v>
      </c>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6"/>
      <c r="D257" s="2949" t="s">
        <v>3290</v>
      </c>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6"/>
      <c r="D258" s="2949" t="s">
        <v>3290</v>
      </c>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6"/>
      <c r="D259" s="2949" t="s">
        <v>3290</v>
      </c>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6"/>
      <c r="D260" s="2949" t="s">
        <v>3290</v>
      </c>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6"/>
      <c r="D261" s="2949" t="s">
        <v>3290</v>
      </c>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6"/>
      <c r="D262" s="2949" t="s">
        <v>3290</v>
      </c>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6"/>
      <c r="D263" s="2949" t="s">
        <v>3290</v>
      </c>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6"/>
      <c r="D264" s="2949" t="s">
        <v>3290</v>
      </c>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6"/>
      <c r="D265" s="2949" t="s">
        <v>3290</v>
      </c>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6"/>
      <c r="D266" s="2949" t="s">
        <v>3290</v>
      </c>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6"/>
      <c r="D267" s="2949" t="s">
        <v>3290</v>
      </c>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6"/>
      <c r="D268" s="2949" t="s">
        <v>3290</v>
      </c>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6"/>
      <c r="D269" s="2949" t="s">
        <v>3290</v>
      </c>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6"/>
      <c r="D270" s="2949" t="s">
        <v>3290</v>
      </c>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6"/>
      <c r="D271" s="2949" t="s">
        <v>3290</v>
      </c>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6"/>
      <c r="D272" s="2949" t="s">
        <v>3290</v>
      </c>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6"/>
      <c r="D273" s="2949" t="s">
        <v>3290</v>
      </c>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6"/>
      <c r="D274" s="2949" t="s">
        <v>3290</v>
      </c>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6"/>
      <c r="D275" s="2949" t="s">
        <v>3290</v>
      </c>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6"/>
      <c r="D276" s="2949" t="s">
        <v>3290</v>
      </c>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6"/>
      <c r="D277" s="2949" t="s">
        <v>3290</v>
      </c>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6"/>
      <c r="D278" s="2949" t="s">
        <v>3290</v>
      </c>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6"/>
      <c r="D279" s="2949" t="s">
        <v>3290</v>
      </c>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6"/>
      <c r="D280" s="2949" t="s">
        <v>3290</v>
      </c>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6"/>
      <c r="D281" s="2949" t="s">
        <v>3290</v>
      </c>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6"/>
      <c r="D282" s="2949" t="s">
        <v>3290</v>
      </c>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6"/>
      <c r="D283" s="2949" t="s">
        <v>3290</v>
      </c>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6"/>
      <c r="D284" s="2949" t="s">
        <v>3290</v>
      </c>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6"/>
      <c r="D285" s="2949" t="s">
        <v>3290</v>
      </c>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6"/>
      <c r="D286" s="2949" t="s">
        <v>3290</v>
      </c>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6"/>
      <c r="D287" s="2949" t="s">
        <v>3290</v>
      </c>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6"/>
      <c r="D288" s="2949" t="s">
        <v>3290</v>
      </c>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6"/>
      <c r="D289" s="2949" t="s">
        <v>3290</v>
      </c>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6"/>
      <c r="D290" s="2949" t="s">
        <v>3290</v>
      </c>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6"/>
      <c r="D291" s="2949" t="s">
        <v>3290</v>
      </c>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6"/>
      <c r="D292" s="2949" t="s">
        <v>3290</v>
      </c>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6"/>
      <c r="D293" s="2949" t="s">
        <v>3290</v>
      </c>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6"/>
      <c r="D294" s="2949" t="s">
        <v>3290</v>
      </c>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6"/>
      <c r="D295" s="2949" t="s">
        <v>3290</v>
      </c>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6"/>
      <c r="D296" s="2949" t="s">
        <v>3290</v>
      </c>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6"/>
      <c r="D297" s="2949" t="s">
        <v>3290</v>
      </c>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6"/>
      <c r="D298" s="2949" t="s">
        <v>3290</v>
      </c>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6"/>
      <c r="D299" s="2949" t="s">
        <v>3290</v>
      </c>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2950"/>
      <c r="D300" s="2949" t="s">
        <v>3290</v>
      </c>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2950"/>
      <c r="D301" s="2949" t="s">
        <v>3290</v>
      </c>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2950"/>
      <c r="D302" s="2949" t="s">
        <v>3290</v>
      </c>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6"/>
      <c r="D303" s="2949" t="s">
        <v>3290</v>
      </c>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6"/>
      <c r="D304" s="2949" t="s">
        <v>3290</v>
      </c>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6"/>
      <c r="D305" s="2949" t="s">
        <v>3290</v>
      </c>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6"/>
      <c r="D306" s="2949" t="s">
        <v>3290</v>
      </c>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6"/>
      <c r="D307" s="2949" t="s">
        <v>3290</v>
      </c>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6"/>
      <c r="D308" s="2949" t="s">
        <v>3290</v>
      </c>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6"/>
      <c r="D309" s="2949" t="s">
        <v>3290</v>
      </c>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6"/>
      <c r="D310" s="2949" t="s">
        <v>3290</v>
      </c>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6"/>
      <c r="D311" s="2949" t="s">
        <v>3290</v>
      </c>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6"/>
      <c r="D312" s="2949" t="s">
        <v>3290</v>
      </c>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6"/>
      <c r="D313" s="2949" t="s">
        <v>3290</v>
      </c>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6"/>
      <c r="D314" s="2949" t="s">
        <v>3290</v>
      </c>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6"/>
      <c r="D315" s="2949" t="s">
        <v>3290</v>
      </c>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6"/>
      <c r="D316" s="2949" t="s">
        <v>3290</v>
      </c>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6"/>
      <c r="D317" s="2949" t="s">
        <v>3290</v>
      </c>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6"/>
      <c r="D318" s="2949" t="s">
        <v>3286</v>
      </c>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6"/>
      <c r="D319" s="2949" t="s">
        <v>3290</v>
      </c>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6"/>
      <c r="D320" s="2949" t="s">
        <v>3290</v>
      </c>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6"/>
      <c r="D321" s="2949" t="s">
        <v>3290</v>
      </c>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6"/>
      <c r="D322" s="2949" t="s">
        <v>3290</v>
      </c>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6"/>
      <c r="D323" s="2949" t="s">
        <v>3290</v>
      </c>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6"/>
      <c r="D324" s="2949" t="s">
        <v>3290</v>
      </c>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6"/>
      <c r="D325" s="2949" t="s">
        <v>3290</v>
      </c>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6"/>
      <c r="D326" s="2949" t="s">
        <v>3290</v>
      </c>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6"/>
      <c r="D327" s="2949" t="s">
        <v>3290</v>
      </c>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6"/>
      <c r="D328" s="2949" t="s">
        <v>3290</v>
      </c>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6"/>
      <c r="D329" s="2949" t="s">
        <v>3290</v>
      </c>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6"/>
      <c r="D330" s="2949" t="s">
        <v>3290</v>
      </c>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6"/>
      <c r="D331" s="2949" t="s">
        <v>3290</v>
      </c>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6"/>
      <c r="D332" s="2949" t="s">
        <v>3286</v>
      </c>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6"/>
      <c r="D333" s="2949" t="s">
        <v>3286</v>
      </c>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6"/>
      <c r="D334" s="2949" t="s">
        <v>3290</v>
      </c>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6"/>
      <c r="D335" s="2949" t="s">
        <v>3290</v>
      </c>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6"/>
      <c r="D336" s="2949" t="s">
        <v>3290</v>
      </c>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6"/>
      <c r="D337" s="2949" t="s">
        <v>3290</v>
      </c>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6"/>
      <c r="D338" s="2949" t="s">
        <v>3290</v>
      </c>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6"/>
      <c r="D339" s="2949" t="s">
        <v>3290</v>
      </c>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6"/>
      <c r="D340" s="2949" t="s">
        <v>3290</v>
      </c>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6"/>
      <c r="D341" s="2949" t="s">
        <v>3290</v>
      </c>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6"/>
      <c r="D342" s="2949" t="s">
        <v>3290</v>
      </c>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6"/>
      <c r="D343" s="2949" t="s">
        <v>3290</v>
      </c>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6"/>
      <c r="D344" s="2949" t="s">
        <v>3290</v>
      </c>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6"/>
      <c r="D345" s="2949" t="s">
        <v>3290</v>
      </c>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6"/>
      <c r="D346" s="2949" t="s">
        <v>3290</v>
      </c>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6"/>
      <c r="D347" s="2949" t="s">
        <v>3290</v>
      </c>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6"/>
      <c r="D348" s="2949" t="s">
        <v>3290</v>
      </c>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6"/>
      <c r="D349" s="2949" t="s">
        <v>3290</v>
      </c>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6"/>
      <c r="D350" s="2949" t="s">
        <v>3290</v>
      </c>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6"/>
      <c r="D351" s="2949" t="s">
        <v>3290</v>
      </c>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6"/>
      <c r="D352" s="2949" t="s">
        <v>3290</v>
      </c>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6"/>
      <c r="D353" s="2949" t="s">
        <v>3290</v>
      </c>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6"/>
      <c r="D354" s="2949" t="s">
        <v>3286</v>
      </c>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6"/>
      <c r="D355" s="2949" t="s">
        <v>3290</v>
      </c>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6"/>
      <c r="D356" s="2949" t="s">
        <v>3286</v>
      </c>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6"/>
      <c r="D357" s="2949" t="s">
        <v>3290</v>
      </c>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6"/>
      <c r="D358" s="2949" t="s">
        <v>3290</v>
      </c>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6"/>
      <c r="D359" s="2949" t="s">
        <v>3290</v>
      </c>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6"/>
      <c r="D360" s="2949" t="s">
        <v>3290</v>
      </c>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6"/>
      <c r="D361" s="2949" t="s">
        <v>3290</v>
      </c>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t="s">
        <v>3289</v>
      </c>
      <c r="C362" s="2956" t="s">
        <v>3059</v>
      </c>
      <c r="D362" s="2949" t="s">
        <v>3290</v>
      </c>
      <c r="E362" s="35">
        <f t="shared" si="206"/>
        <v>137.93</v>
      </c>
      <c r="F362" s="36"/>
      <c r="G362" s="37">
        <f t="shared" si="181"/>
        <v>69.900000000000006</v>
      </c>
      <c r="H362" s="38">
        <f t="shared" si="182"/>
        <v>69.900000000000006</v>
      </c>
      <c r="I362" s="39">
        <v>69.900000000000006</v>
      </c>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t="str">
        <f t="shared" si="208"/>
        <v>7号楼</v>
      </c>
      <c r="AX362" s="1798" t="str">
        <f t="shared" si="209"/>
        <v>101</v>
      </c>
      <c r="AY362" s="42">
        <f t="shared" si="184"/>
        <v>137.93</v>
      </c>
      <c r="AZ362" s="35">
        <f t="shared" si="185"/>
        <v>69.900000000000006</v>
      </c>
      <c r="BA362" s="35">
        <f t="shared" si="186"/>
        <v>69.900000000000006</v>
      </c>
      <c r="BB362" s="35">
        <f t="shared" si="187"/>
        <v>69.900000000000006</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6" t="s">
        <v>3060</v>
      </c>
      <c r="D363" s="2949" t="s">
        <v>3290</v>
      </c>
      <c r="E363" s="35">
        <f t="shared" si="206"/>
        <v>106.57</v>
      </c>
      <c r="F363" s="36"/>
      <c r="G363" s="37">
        <f t="shared" si="181"/>
        <v>54.01</v>
      </c>
      <c r="H363" s="38">
        <f t="shared" si="182"/>
        <v>54.01</v>
      </c>
      <c r="I363" s="39">
        <v>54.01</v>
      </c>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t="str">
        <f t="shared" si="209"/>
        <v>102</v>
      </c>
      <c r="AY363" s="42">
        <f t="shared" si="184"/>
        <v>106.57</v>
      </c>
      <c r="AZ363" s="35">
        <f t="shared" si="185"/>
        <v>54.01</v>
      </c>
      <c r="BA363" s="35">
        <f t="shared" si="186"/>
        <v>54.01</v>
      </c>
      <c r="BB363" s="35">
        <f t="shared" si="187"/>
        <v>54.01</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6" t="s">
        <v>3061</v>
      </c>
      <c r="D364" s="2949" t="s">
        <v>3290</v>
      </c>
      <c r="E364" s="35">
        <f t="shared" si="206"/>
        <v>106.34</v>
      </c>
      <c r="F364" s="36"/>
      <c r="G364" s="37">
        <f t="shared" ref="G364:G395" si="210">H364+AC364+AT364</f>
        <v>53.89</v>
      </c>
      <c r="H364" s="38">
        <f t="shared" ref="H364:H395" si="211">SUMIF(I$12:AB$12,"总值",I364:AB364)</f>
        <v>53.89</v>
      </c>
      <c r="I364" s="39">
        <v>53.89</v>
      </c>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t="str">
        <f t="shared" si="209"/>
        <v>103</v>
      </c>
      <c r="AY364" s="42">
        <f t="shared" ref="AY364:AY395" si="213">ROUND($AY$6*AZ364/$AZ$5,2)</f>
        <v>106.34</v>
      </c>
      <c r="AZ364" s="35">
        <f t="shared" ref="AZ364:AZ395" si="214">BA364+BL364</f>
        <v>53.89</v>
      </c>
      <c r="BA364" s="35">
        <f t="shared" ref="BA364:BA395" si="215">SUM(BB364:BK364)</f>
        <v>53.89</v>
      </c>
      <c r="BB364" s="35">
        <f t="shared" ref="BB364:BB397" si="216">IF($D364="是",I364-J364,0)</f>
        <v>53.89</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6" t="s">
        <v>3062</v>
      </c>
      <c r="D365" s="2949" t="s">
        <v>3290</v>
      </c>
      <c r="E365" s="35">
        <f t="shared" si="206"/>
        <v>107.09</v>
      </c>
      <c r="F365" s="36"/>
      <c r="G365" s="37">
        <f t="shared" si="210"/>
        <v>54.27</v>
      </c>
      <c r="H365" s="38">
        <f t="shared" si="211"/>
        <v>54.27</v>
      </c>
      <c r="I365" s="39">
        <v>54.27</v>
      </c>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t="str">
        <f t="shared" si="209"/>
        <v>104</v>
      </c>
      <c r="AY365" s="42">
        <f t="shared" si="213"/>
        <v>107.09</v>
      </c>
      <c r="AZ365" s="35">
        <f t="shared" si="214"/>
        <v>54.27</v>
      </c>
      <c r="BA365" s="35">
        <f t="shared" si="215"/>
        <v>54.27</v>
      </c>
      <c r="BB365" s="35">
        <f t="shared" si="216"/>
        <v>54.27</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6" t="s">
        <v>3063</v>
      </c>
      <c r="D366" s="2949" t="s">
        <v>3290</v>
      </c>
      <c r="E366" s="35">
        <f t="shared" si="206"/>
        <v>132.41999999999999</v>
      </c>
      <c r="F366" s="36"/>
      <c r="G366" s="37">
        <f t="shared" si="210"/>
        <v>67.11</v>
      </c>
      <c r="H366" s="38">
        <f t="shared" si="211"/>
        <v>67.11</v>
      </c>
      <c r="I366" s="39">
        <v>67.11</v>
      </c>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t="str">
        <f t="shared" si="209"/>
        <v>105</v>
      </c>
      <c r="AY366" s="42">
        <f t="shared" si="213"/>
        <v>132.41999999999999</v>
      </c>
      <c r="AZ366" s="35">
        <f t="shared" si="214"/>
        <v>67.11</v>
      </c>
      <c r="BA366" s="35">
        <f t="shared" si="215"/>
        <v>67.11</v>
      </c>
      <c r="BB366" s="35">
        <f t="shared" si="216"/>
        <v>67.11</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6" t="s">
        <v>3064</v>
      </c>
      <c r="D367" s="2949" t="s">
        <v>3290</v>
      </c>
      <c r="E367" s="35">
        <f t="shared" ref="E367:E397" si="235">IF($C$3="是",ROUND($A$3*G367/$B$3,2),ROUND($A$3*(G367-AT367)/$B$3,2))</f>
        <v>112.91</v>
      </c>
      <c r="F367" s="36"/>
      <c r="G367" s="37">
        <f t="shared" si="210"/>
        <v>57.22</v>
      </c>
      <c r="H367" s="38">
        <f t="shared" si="211"/>
        <v>57.22</v>
      </c>
      <c r="I367" s="39">
        <v>57.22</v>
      </c>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t="str">
        <f t="shared" ref="AX367:AX397" si="238">C367</f>
        <v>106</v>
      </c>
      <c r="AY367" s="42">
        <f t="shared" si="213"/>
        <v>112.91</v>
      </c>
      <c r="AZ367" s="35">
        <f t="shared" si="214"/>
        <v>57.22</v>
      </c>
      <c r="BA367" s="35">
        <f t="shared" si="215"/>
        <v>57.22</v>
      </c>
      <c r="BB367" s="35">
        <f t="shared" si="216"/>
        <v>57.22</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6" t="s">
        <v>3065</v>
      </c>
      <c r="D368" s="2949" t="s">
        <v>3290</v>
      </c>
      <c r="E368" s="35">
        <f t="shared" si="235"/>
        <v>190.93</v>
      </c>
      <c r="F368" s="36"/>
      <c r="G368" s="37">
        <f t="shared" si="210"/>
        <v>96.76</v>
      </c>
      <c r="H368" s="38">
        <f t="shared" si="211"/>
        <v>96.76</v>
      </c>
      <c r="I368" s="39">
        <v>96.76</v>
      </c>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t="str">
        <f t="shared" si="238"/>
        <v>107</v>
      </c>
      <c r="AY368" s="42">
        <f t="shared" si="213"/>
        <v>190.93</v>
      </c>
      <c r="AZ368" s="35">
        <f t="shared" si="214"/>
        <v>96.76</v>
      </c>
      <c r="BA368" s="35">
        <f t="shared" si="215"/>
        <v>96.76</v>
      </c>
      <c r="BB368" s="35">
        <f t="shared" si="216"/>
        <v>96.76</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6" t="s">
        <v>3066</v>
      </c>
      <c r="D369" s="2949" t="s">
        <v>3290</v>
      </c>
      <c r="E369" s="35">
        <f t="shared" si="235"/>
        <v>190.93</v>
      </c>
      <c r="F369" s="36"/>
      <c r="G369" s="37">
        <f t="shared" si="210"/>
        <v>96.76</v>
      </c>
      <c r="H369" s="38">
        <f t="shared" si="211"/>
        <v>96.76</v>
      </c>
      <c r="I369" s="39">
        <v>96.76</v>
      </c>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t="str">
        <f t="shared" si="238"/>
        <v>108</v>
      </c>
      <c r="AY369" s="42">
        <f t="shared" si="213"/>
        <v>190.93</v>
      </c>
      <c r="AZ369" s="35">
        <f t="shared" si="214"/>
        <v>96.76</v>
      </c>
      <c r="BA369" s="35">
        <f t="shared" si="215"/>
        <v>96.76</v>
      </c>
      <c r="BB369" s="35">
        <f t="shared" si="216"/>
        <v>96.76</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6" t="s">
        <v>3067</v>
      </c>
      <c r="D370" s="2949" t="s">
        <v>3290</v>
      </c>
      <c r="E370" s="35">
        <f t="shared" si="235"/>
        <v>112.91</v>
      </c>
      <c r="F370" s="36"/>
      <c r="G370" s="37">
        <f t="shared" si="210"/>
        <v>57.22</v>
      </c>
      <c r="H370" s="38">
        <f t="shared" si="211"/>
        <v>57.22</v>
      </c>
      <c r="I370" s="39">
        <v>57.22</v>
      </c>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t="str">
        <f t="shared" si="238"/>
        <v>109</v>
      </c>
      <c r="AY370" s="42">
        <f t="shared" si="213"/>
        <v>112.91</v>
      </c>
      <c r="AZ370" s="35">
        <f t="shared" si="214"/>
        <v>57.22</v>
      </c>
      <c r="BA370" s="35">
        <f t="shared" si="215"/>
        <v>57.22</v>
      </c>
      <c r="BB370" s="35">
        <f t="shared" si="216"/>
        <v>57.22</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6" t="s">
        <v>3068</v>
      </c>
      <c r="D371" s="2949" t="s">
        <v>3290</v>
      </c>
      <c r="E371" s="35">
        <f t="shared" si="235"/>
        <v>132.5</v>
      </c>
      <c r="F371" s="36"/>
      <c r="G371" s="37">
        <f t="shared" si="210"/>
        <v>67.150000000000006</v>
      </c>
      <c r="H371" s="38">
        <f t="shared" si="211"/>
        <v>67.150000000000006</v>
      </c>
      <c r="I371" s="39">
        <v>67.150000000000006</v>
      </c>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t="str">
        <f t="shared" si="238"/>
        <v>110</v>
      </c>
      <c r="AY371" s="42">
        <f t="shared" si="213"/>
        <v>132.5</v>
      </c>
      <c r="AZ371" s="35">
        <f t="shared" si="214"/>
        <v>67.150000000000006</v>
      </c>
      <c r="BA371" s="35">
        <f t="shared" si="215"/>
        <v>67.150000000000006</v>
      </c>
      <c r="BB371" s="35">
        <f t="shared" si="216"/>
        <v>67.150000000000006</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6" t="s">
        <v>3069</v>
      </c>
      <c r="D372" s="2949" t="s">
        <v>3290</v>
      </c>
      <c r="E372" s="35">
        <f t="shared" si="235"/>
        <v>106.57</v>
      </c>
      <c r="F372" s="36"/>
      <c r="G372" s="37">
        <f t="shared" si="210"/>
        <v>54.01</v>
      </c>
      <c r="H372" s="38">
        <f t="shared" si="211"/>
        <v>54.01</v>
      </c>
      <c r="I372" s="39">
        <v>54.01</v>
      </c>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t="str">
        <f t="shared" si="238"/>
        <v>111</v>
      </c>
      <c r="AY372" s="42">
        <f t="shared" si="213"/>
        <v>106.57</v>
      </c>
      <c r="AZ372" s="35">
        <f t="shared" si="214"/>
        <v>54.01</v>
      </c>
      <c r="BA372" s="35">
        <f t="shared" si="215"/>
        <v>54.01</v>
      </c>
      <c r="BB372" s="35">
        <f t="shared" si="216"/>
        <v>54.01</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6" t="s">
        <v>3070</v>
      </c>
      <c r="D373" s="2949" t="s">
        <v>3290</v>
      </c>
      <c r="E373" s="35">
        <f t="shared" si="235"/>
        <v>145.84</v>
      </c>
      <c r="F373" s="36"/>
      <c r="G373" s="37">
        <f t="shared" si="210"/>
        <v>73.91</v>
      </c>
      <c r="H373" s="38">
        <f t="shared" si="211"/>
        <v>73.91</v>
      </c>
      <c r="I373" s="39">
        <v>73.91</v>
      </c>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t="str">
        <f t="shared" si="238"/>
        <v>112</v>
      </c>
      <c r="AY373" s="42">
        <f t="shared" si="213"/>
        <v>145.84</v>
      </c>
      <c r="AZ373" s="35">
        <f t="shared" si="214"/>
        <v>73.91</v>
      </c>
      <c r="BA373" s="35">
        <f t="shared" si="215"/>
        <v>73.91</v>
      </c>
      <c r="BB373" s="35">
        <f t="shared" si="216"/>
        <v>73.91</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6" t="s">
        <v>3077</v>
      </c>
      <c r="D374" s="2949" t="s">
        <v>3290</v>
      </c>
      <c r="E374" s="35">
        <f t="shared" si="235"/>
        <v>134.44</v>
      </c>
      <c r="F374" s="36"/>
      <c r="G374" s="37">
        <f t="shared" si="210"/>
        <v>68.13</v>
      </c>
      <c r="H374" s="38">
        <f t="shared" si="211"/>
        <v>68.13</v>
      </c>
      <c r="I374" s="39">
        <v>68.13</v>
      </c>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t="str">
        <f t="shared" si="238"/>
        <v>201</v>
      </c>
      <c r="AY374" s="42">
        <f t="shared" si="213"/>
        <v>134.44</v>
      </c>
      <c r="AZ374" s="35">
        <f t="shared" si="214"/>
        <v>68.13</v>
      </c>
      <c r="BA374" s="35">
        <f t="shared" si="215"/>
        <v>68.13</v>
      </c>
      <c r="BB374" s="35">
        <f t="shared" si="216"/>
        <v>68.13</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6" t="s">
        <v>3078</v>
      </c>
      <c r="D375" s="2949" t="s">
        <v>3290</v>
      </c>
      <c r="E375" s="35">
        <f t="shared" si="235"/>
        <v>103.87</v>
      </c>
      <c r="F375" s="36"/>
      <c r="G375" s="37">
        <f t="shared" si="210"/>
        <v>52.64</v>
      </c>
      <c r="H375" s="38">
        <f t="shared" si="211"/>
        <v>52.64</v>
      </c>
      <c r="I375" s="39">
        <v>52.64</v>
      </c>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t="str">
        <f t="shared" si="238"/>
        <v>202</v>
      </c>
      <c r="AY375" s="42">
        <f t="shared" si="213"/>
        <v>103.87</v>
      </c>
      <c r="AZ375" s="35">
        <f t="shared" si="214"/>
        <v>52.64</v>
      </c>
      <c r="BA375" s="35">
        <f t="shared" si="215"/>
        <v>52.64</v>
      </c>
      <c r="BB375" s="35">
        <f t="shared" si="216"/>
        <v>52.64</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6" t="s">
        <v>3079</v>
      </c>
      <c r="D376" s="2949" t="s">
        <v>3290</v>
      </c>
      <c r="E376" s="35">
        <f t="shared" si="235"/>
        <v>103.65</v>
      </c>
      <c r="F376" s="36"/>
      <c r="G376" s="37">
        <f t="shared" si="210"/>
        <v>52.53</v>
      </c>
      <c r="H376" s="38">
        <f t="shared" si="211"/>
        <v>52.53</v>
      </c>
      <c r="I376" s="39">
        <v>52.53</v>
      </c>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t="str">
        <f t="shared" si="238"/>
        <v>203</v>
      </c>
      <c r="AY376" s="42">
        <f t="shared" si="213"/>
        <v>103.65</v>
      </c>
      <c r="AZ376" s="35">
        <f t="shared" si="214"/>
        <v>52.53</v>
      </c>
      <c r="BA376" s="35">
        <f t="shared" si="215"/>
        <v>52.53</v>
      </c>
      <c r="BB376" s="35">
        <f t="shared" si="216"/>
        <v>52.53</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6" t="s">
        <v>3080</v>
      </c>
      <c r="D377" s="2949" t="s">
        <v>3290</v>
      </c>
      <c r="E377" s="35">
        <f t="shared" si="235"/>
        <v>104.36</v>
      </c>
      <c r="F377" s="36"/>
      <c r="G377" s="37">
        <f t="shared" si="210"/>
        <v>52.89</v>
      </c>
      <c r="H377" s="38">
        <f t="shared" si="211"/>
        <v>52.89</v>
      </c>
      <c r="I377" s="39">
        <v>52.89</v>
      </c>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t="str">
        <f t="shared" si="238"/>
        <v>204</v>
      </c>
      <c r="AY377" s="42">
        <f t="shared" si="213"/>
        <v>104.36</v>
      </c>
      <c r="AZ377" s="35">
        <f t="shared" si="214"/>
        <v>52.89</v>
      </c>
      <c r="BA377" s="35">
        <f t="shared" si="215"/>
        <v>52.89</v>
      </c>
      <c r="BB377" s="35">
        <f t="shared" si="216"/>
        <v>52.89</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6" t="s">
        <v>3081</v>
      </c>
      <c r="D378" s="2949" t="s">
        <v>3290</v>
      </c>
      <c r="E378" s="35">
        <f t="shared" si="235"/>
        <v>129.07</v>
      </c>
      <c r="F378" s="36"/>
      <c r="G378" s="37">
        <f t="shared" si="210"/>
        <v>65.41</v>
      </c>
      <c r="H378" s="38">
        <f t="shared" si="211"/>
        <v>65.41</v>
      </c>
      <c r="I378" s="39">
        <v>65.41</v>
      </c>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t="str">
        <f t="shared" si="238"/>
        <v>205</v>
      </c>
      <c r="AY378" s="42">
        <f t="shared" si="213"/>
        <v>129.07</v>
      </c>
      <c r="AZ378" s="35">
        <f t="shared" si="214"/>
        <v>65.41</v>
      </c>
      <c r="BA378" s="35">
        <f t="shared" si="215"/>
        <v>65.41</v>
      </c>
      <c r="BB378" s="35">
        <f t="shared" si="216"/>
        <v>65.41</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6" t="s">
        <v>3082</v>
      </c>
      <c r="D379" s="2949" t="s">
        <v>3290</v>
      </c>
      <c r="E379" s="35">
        <f t="shared" si="235"/>
        <v>110.03</v>
      </c>
      <c r="F379" s="36"/>
      <c r="G379" s="37">
        <f t="shared" si="210"/>
        <v>55.76</v>
      </c>
      <c r="H379" s="38">
        <f t="shared" si="211"/>
        <v>55.76</v>
      </c>
      <c r="I379" s="39">
        <v>55.76</v>
      </c>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t="str">
        <f t="shared" si="238"/>
        <v>206</v>
      </c>
      <c r="AY379" s="42">
        <f t="shared" si="213"/>
        <v>110.03</v>
      </c>
      <c r="AZ379" s="35">
        <f t="shared" si="214"/>
        <v>55.76</v>
      </c>
      <c r="BA379" s="35">
        <f t="shared" si="215"/>
        <v>55.76</v>
      </c>
      <c r="BB379" s="35">
        <f t="shared" si="216"/>
        <v>55.76</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6" t="s">
        <v>3083</v>
      </c>
      <c r="D380" s="2949" t="s">
        <v>3290</v>
      </c>
      <c r="E380" s="35">
        <f t="shared" si="235"/>
        <v>186.08</v>
      </c>
      <c r="F380" s="36"/>
      <c r="G380" s="37">
        <f t="shared" si="210"/>
        <v>94.3</v>
      </c>
      <c r="H380" s="38">
        <f t="shared" si="211"/>
        <v>94.3</v>
      </c>
      <c r="I380" s="39">
        <v>94.3</v>
      </c>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t="str">
        <f t="shared" si="238"/>
        <v>207</v>
      </c>
      <c r="AY380" s="42">
        <f t="shared" si="213"/>
        <v>186.08</v>
      </c>
      <c r="AZ380" s="35">
        <f t="shared" si="214"/>
        <v>94.3</v>
      </c>
      <c r="BA380" s="35">
        <f t="shared" si="215"/>
        <v>94.3</v>
      </c>
      <c r="BB380" s="35">
        <f t="shared" si="216"/>
        <v>94.3</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6" t="s">
        <v>3084</v>
      </c>
      <c r="D381" s="2949" t="s">
        <v>3290</v>
      </c>
      <c r="E381" s="35">
        <f t="shared" si="235"/>
        <v>186.08</v>
      </c>
      <c r="F381" s="36"/>
      <c r="G381" s="37">
        <f t="shared" si="210"/>
        <v>94.3</v>
      </c>
      <c r="H381" s="38">
        <f t="shared" si="211"/>
        <v>94.3</v>
      </c>
      <c r="I381" s="39">
        <v>94.3</v>
      </c>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t="str">
        <f t="shared" si="238"/>
        <v>208</v>
      </c>
      <c r="AY381" s="42">
        <f t="shared" si="213"/>
        <v>186.08</v>
      </c>
      <c r="AZ381" s="35">
        <f t="shared" si="214"/>
        <v>94.3</v>
      </c>
      <c r="BA381" s="35">
        <f t="shared" si="215"/>
        <v>94.3</v>
      </c>
      <c r="BB381" s="35">
        <f t="shared" si="216"/>
        <v>94.3</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6" t="s">
        <v>3085</v>
      </c>
      <c r="D382" s="2949" t="s">
        <v>3290</v>
      </c>
      <c r="E382" s="35">
        <f t="shared" si="235"/>
        <v>110.03</v>
      </c>
      <c r="F382" s="36"/>
      <c r="G382" s="37">
        <f t="shared" si="210"/>
        <v>55.76</v>
      </c>
      <c r="H382" s="38">
        <f t="shared" si="211"/>
        <v>55.76</v>
      </c>
      <c r="I382" s="39">
        <v>55.76</v>
      </c>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t="str">
        <f t="shared" si="238"/>
        <v>209</v>
      </c>
      <c r="AY382" s="42">
        <f t="shared" si="213"/>
        <v>110.03</v>
      </c>
      <c r="AZ382" s="35">
        <f t="shared" si="214"/>
        <v>55.76</v>
      </c>
      <c r="BA382" s="35">
        <f t="shared" si="215"/>
        <v>55.76</v>
      </c>
      <c r="BB382" s="35">
        <f t="shared" si="216"/>
        <v>55.76</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6" t="s">
        <v>3086</v>
      </c>
      <c r="D383" s="2949" t="s">
        <v>3290</v>
      </c>
      <c r="E383" s="35">
        <f t="shared" si="235"/>
        <v>129.07</v>
      </c>
      <c r="F383" s="36"/>
      <c r="G383" s="37">
        <f t="shared" si="210"/>
        <v>65.41</v>
      </c>
      <c r="H383" s="38">
        <f t="shared" si="211"/>
        <v>65.41</v>
      </c>
      <c r="I383" s="39">
        <v>65.41</v>
      </c>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t="str">
        <f t="shared" si="238"/>
        <v>210</v>
      </c>
      <c r="AY383" s="42">
        <f t="shared" si="213"/>
        <v>129.07</v>
      </c>
      <c r="AZ383" s="35">
        <f t="shared" si="214"/>
        <v>65.41</v>
      </c>
      <c r="BA383" s="35">
        <f t="shared" si="215"/>
        <v>65.41</v>
      </c>
      <c r="BB383" s="35">
        <f t="shared" si="216"/>
        <v>65.41</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6" t="s">
        <v>3087</v>
      </c>
      <c r="D384" s="2949" t="s">
        <v>3290</v>
      </c>
      <c r="E384" s="35">
        <f t="shared" si="235"/>
        <v>104.36</v>
      </c>
      <c r="F384" s="36"/>
      <c r="G384" s="37">
        <f t="shared" si="210"/>
        <v>52.89</v>
      </c>
      <c r="H384" s="38">
        <f t="shared" si="211"/>
        <v>52.89</v>
      </c>
      <c r="I384" s="39">
        <v>52.89</v>
      </c>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t="str">
        <f t="shared" si="238"/>
        <v>211</v>
      </c>
      <c r="AY384" s="42">
        <f t="shared" si="213"/>
        <v>104.36</v>
      </c>
      <c r="AZ384" s="35">
        <f t="shared" si="214"/>
        <v>52.89</v>
      </c>
      <c r="BA384" s="35">
        <f t="shared" si="215"/>
        <v>52.89</v>
      </c>
      <c r="BB384" s="35">
        <f t="shared" si="216"/>
        <v>52.89</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6" t="s">
        <v>3088</v>
      </c>
      <c r="D385" s="2949" t="s">
        <v>3290</v>
      </c>
      <c r="E385" s="35">
        <f t="shared" si="235"/>
        <v>103.65</v>
      </c>
      <c r="F385" s="36"/>
      <c r="G385" s="37">
        <f t="shared" si="210"/>
        <v>52.53</v>
      </c>
      <c r="H385" s="38">
        <f t="shared" si="211"/>
        <v>52.53</v>
      </c>
      <c r="I385" s="39">
        <v>52.53</v>
      </c>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t="str">
        <f t="shared" si="238"/>
        <v>212</v>
      </c>
      <c r="AY385" s="42">
        <f t="shared" si="213"/>
        <v>103.65</v>
      </c>
      <c r="AZ385" s="35">
        <f t="shared" si="214"/>
        <v>52.53</v>
      </c>
      <c r="BA385" s="35">
        <f t="shared" si="215"/>
        <v>52.53</v>
      </c>
      <c r="BB385" s="35">
        <f t="shared" si="216"/>
        <v>52.53</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6" t="s">
        <v>3089</v>
      </c>
      <c r="D386" s="2949" t="s">
        <v>3290</v>
      </c>
      <c r="E386" s="35">
        <f t="shared" si="235"/>
        <v>103.87</v>
      </c>
      <c r="F386" s="36"/>
      <c r="G386" s="37">
        <f t="shared" si="210"/>
        <v>52.64</v>
      </c>
      <c r="H386" s="38">
        <f t="shared" si="211"/>
        <v>52.64</v>
      </c>
      <c r="I386" s="39">
        <v>52.64</v>
      </c>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t="str">
        <f t="shared" si="238"/>
        <v>213</v>
      </c>
      <c r="AY386" s="42">
        <f t="shared" si="213"/>
        <v>103.87</v>
      </c>
      <c r="AZ386" s="35">
        <f t="shared" si="214"/>
        <v>52.64</v>
      </c>
      <c r="BA386" s="35">
        <f t="shared" si="215"/>
        <v>52.64</v>
      </c>
      <c r="BB386" s="35">
        <f t="shared" si="216"/>
        <v>52.64</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6" t="s">
        <v>3090</v>
      </c>
      <c r="D387" s="2949" t="s">
        <v>3290</v>
      </c>
      <c r="E387" s="35">
        <f t="shared" si="235"/>
        <v>142.15</v>
      </c>
      <c r="F387" s="36"/>
      <c r="G387" s="37">
        <f t="shared" si="210"/>
        <v>72.040000000000006</v>
      </c>
      <c r="H387" s="38">
        <f t="shared" si="211"/>
        <v>72.040000000000006</v>
      </c>
      <c r="I387" s="39">
        <v>72.040000000000006</v>
      </c>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t="str">
        <f t="shared" si="238"/>
        <v>214</v>
      </c>
      <c r="AY387" s="42">
        <f t="shared" si="213"/>
        <v>142.15</v>
      </c>
      <c r="AZ387" s="35">
        <f t="shared" si="214"/>
        <v>72.040000000000006</v>
      </c>
      <c r="BA387" s="35">
        <f t="shared" si="215"/>
        <v>72.040000000000006</v>
      </c>
      <c r="BB387" s="35">
        <f t="shared" si="216"/>
        <v>72.040000000000006</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6" t="s">
        <v>3099</v>
      </c>
      <c r="D388" s="2949" t="s">
        <v>3290</v>
      </c>
      <c r="E388" s="35">
        <f t="shared" si="235"/>
        <v>134.44</v>
      </c>
      <c r="F388" s="36"/>
      <c r="G388" s="37">
        <f t="shared" si="210"/>
        <v>68.13</v>
      </c>
      <c r="H388" s="38">
        <f t="shared" si="211"/>
        <v>68.13</v>
      </c>
      <c r="I388" s="39">
        <v>68.13</v>
      </c>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t="str">
        <f t="shared" si="238"/>
        <v>301</v>
      </c>
      <c r="AY388" s="42">
        <f t="shared" si="213"/>
        <v>134.44</v>
      </c>
      <c r="AZ388" s="35">
        <f t="shared" si="214"/>
        <v>68.13</v>
      </c>
      <c r="BA388" s="35">
        <f t="shared" si="215"/>
        <v>68.13</v>
      </c>
      <c r="BB388" s="35">
        <f t="shared" si="216"/>
        <v>68.13</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6" t="s">
        <v>3100</v>
      </c>
      <c r="D389" s="2949" t="s">
        <v>3290</v>
      </c>
      <c r="E389" s="35">
        <f t="shared" si="235"/>
        <v>103.87</v>
      </c>
      <c r="F389" s="36"/>
      <c r="G389" s="37">
        <f t="shared" si="210"/>
        <v>52.64</v>
      </c>
      <c r="H389" s="38">
        <f t="shared" si="211"/>
        <v>52.64</v>
      </c>
      <c r="I389" s="39">
        <v>52.64</v>
      </c>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t="str">
        <f t="shared" si="238"/>
        <v>302</v>
      </c>
      <c r="AY389" s="42">
        <f t="shared" si="213"/>
        <v>103.87</v>
      </c>
      <c r="AZ389" s="35">
        <f t="shared" si="214"/>
        <v>52.64</v>
      </c>
      <c r="BA389" s="35">
        <f t="shared" si="215"/>
        <v>52.64</v>
      </c>
      <c r="BB389" s="35">
        <f t="shared" si="216"/>
        <v>52.64</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6" t="s">
        <v>3101</v>
      </c>
      <c r="D390" s="2949" t="s">
        <v>3290</v>
      </c>
      <c r="E390" s="35">
        <f t="shared" si="235"/>
        <v>103.65</v>
      </c>
      <c r="F390" s="36"/>
      <c r="G390" s="37">
        <f t="shared" si="210"/>
        <v>52.53</v>
      </c>
      <c r="H390" s="38">
        <f t="shared" si="211"/>
        <v>52.53</v>
      </c>
      <c r="I390" s="39">
        <v>52.53</v>
      </c>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t="str">
        <f t="shared" si="238"/>
        <v>303</v>
      </c>
      <c r="AY390" s="42">
        <f t="shared" si="213"/>
        <v>103.65</v>
      </c>
      <c r="AZ390" s="35">
        <f t="shared" si="214"/>
        <v>52.53</v>
      </c>
      <c r="BA390" s="35">
        <f t="shared" si="215"/>
        <v>52.53</v>
      </c>
      <c r="BB390" s="35">
        <f t="shared" si="216"/>
        <v>52.53</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6" t="s">
        <v>3102</v>
      </c>
      <c r="D391" s="2949" t="s">
        <v>3290</v>
      </c>
      <c r="E391" s="35">
        <f t="shared" si="235"/>
        <v>104.36</v>
      </c>
      <c r="F391" s="36"/>
      <c r="G391" s="37">
        <f t="shared" si="210"/>
        <v>52.89</v>
      </c>
      <c r="H391" s="38">
        <f t="shared" si="211"/>
        <v>52.89</v>
      </c>
      <c r="I391" s="39">
        <v>52.89</v>
      </c>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t="str">
        <f t="shared" si="238"/>
        <v>304</v>
      </c>
      <c r="AY391" s="42">
        <f t="shared" si="213"/>
        <v>104.36</v>
      </c>
      <c r="AZ391" s="35">
        <f t="shared" si="214"/>
        <v>52.89</v>
      </c>
      <c r="BA391" s="35">
        <f t="shared" si="215"/>
        <v>52.89</v>
      </c>
      <c r="BB391" s="35">
        <f t="shared" si="216"/>
        <v>52.89</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6" t="s">
        <v>3103</v>
      </c>
      <c r="D392" s="2949" t="s">
        <v>3290</v>
      </c>
      <c r="E392" s="35">
        <f t="shared" si="235"/>
        <v>129.07</v>
      </c>
      <c r="F392" s="36"/>
      <c r="G392" s="37">
        <f t="shared" si="210"/>
        <v>65.41</v>
      </c>
      <c r="H392" s="38">
        <f t="shared" si="211"/>
        <v>65.41</v>
      </c>
      <c r="I392" s="39">
        <v>65.41</v>
      </c>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t="str">
        <f t="shared" si="238"/>
        <v>305</v>
      </c>
      <c r="AY392" s="42">
        <f t="shared" si="213"/>
        <v>129.07</v>
      </c>
      <c r="AZ392" s="35">
        <f t="shared" si="214"/>
        <v>65.41</v>
      </c>
      <c r="BA392" s="35">
        <f t="shared" si="215"/>
        <v>65.41</v>
      </c>
      <c r="BB392" s="35">
        <f t="shared" si="216"/>
        <v>65.41</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6" t="s">
        <v>3104</v>
      </c>
      <c r="D393" s="2949" t="s">
        <v>3290</v>
      </c>
      <c r="E393" s="35">
        <f t="shared" si="235"/>
        <v>110.03</v>
      </c>
      <c r="F393" s="36"/>
      <c r="G393" s="37">
        <f t="shared" si="210"/>
        <v>55.76</v>
      </c>
      <c r="H393" s="38">
        <f t="shared" si="211"/>
        <v>55.76</v>
      </c>
      <c r="I393" s="39">
        <v>55.76</v>
      </c>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t="str">
        <f t="shared" si="238"/>
        <v>306</v>
      </c>
      <c r="AY393" s="42">
        <f t="shared" si="213"/>
        <v>110.03</v>
      </c>
      <c r="AZ393" s="35">
        <f t="shared" si="214"/>
        <v>55.76</v>
      </c>
      <c r="BA393" s="35">
        <f t="shared" si="215"/>
        <v>55.76</v>
      </c>
      <c r="BB393" s="35">
        <f t="shared" si="216"/>
        <v>55.76</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6" t="s">
        <v>3105</v>
      </c>
      <c r="D394" s="2949" t="s">
        <v>3290</v>
      </c>
      <c r="E394" s="35">
        <f t="shared" si="235"/>
        <v>186.08</v>
      </c>
      <c r="F394" s="36"/>
      <c r="G394" s="37">
        <f t="shared" si="210"/>
        <v>94.3</v>
      </c>
      <c r="H394" s="38">
        <f t="shared" si="211"/>
        <v>94.3</v>
      </c>
      <c r="I394" s="39">
        <v>94.3</v>
      </c>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t="str">
        <f t="shared" si="238"/>
        <v>307</v>
      </c>
      <c r="AY394" s="42">
        <f t="shared" si="213"/>
        <v>186.08</v>
      </c>
      <c r="AZ394" s="35">
        <f t="shared" si="214"/>
        <v>94.3</v>
      </c>
      <c r="BA394" s="35">
        <f t="shared" si="215"/>
        <v>94.3</v>
      </c>
      <c r="BB394" s="35">
        <f t="shared" si="216"/>
        <v>94.3</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2950" t="s">
        <v>3106</v>
      </c>
      <c r="D395" s="2949" t="s">
        <v>3290</v>
      </c>
      <c r="E395" s="35">
        <f t="shared" si="235"/>
        <v>186.08</v>
      </c>
      <c r="F395" s="44"/>
      <c r="G395" s="37">
        <f t="shared" si="210"/>
        <v>94.3</v>
      </c>
      <c r="H395" s="38">
        <f t="shared" si="211"/>
        <v>94.3</v>
      </c>
      <c r="I395" s="10">
        <v>94.3</v>
      </c>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t="str">
        <f t="shared" si="238"/>
        <v>308</v>
      </c>
      <c r="AY395" s="42">
        <f t="shared" si="213"/>
        <v>186.08</v>
      </c>
      <c r="AZ395" s="35">
        <f t="shared" si="214"/>
        <v>94.3</v>
      </c>
      <c r="BA395" s="35">
        <f t="shared" si="215"/>
        <v>94.3</v>
      </c>
      <c r="BB395" s="35">
        <f t="shared" si="216"/>
        <v>94.3</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2950" t="s">
        <v>3107</v>
      </c>
      <c r="D396" s="2949" t="s">
        <v>3290</v>
      </c>
      <c r="E396" s="35">
        <f t="shared" si="235"/>
        <v>110.03</v>
      </c>
      <c r="F396" s="44"/>
      <c r="G396" s="37">
        <f>H396+AC396+AT396</f>
        <v>55.76</v>
      </c>
      <c r="H396" s="38">
        <f>SUMIF(I$12:AB$12,"总值",I396:AB396)</f>
        <v>55.76</v>
      </c>
      <c r="I396" s="39">
        <v>55.76</v>
      </c>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t="str">
        <f t="shared" si="238"/>
        <v>309</v>
      </c>
      <c r="AY396" s="42">
        <f>ROUND($AY$6*AZ396/$AZ$5,2)</f>
        <v>110.03</v>
      </c>
      <c r="AZ396" s="35">
        <f>BA396+BL396</f>
        <v>55.76</v>
      </c>
      <c r="BA396" s="35">
        <f>SUM(BB396:BK396)</f>
        <v>55.76</v>
      </c>
      <c r="BB396" s="35">
        <f t="shared" si="216"/>
        <v>55.76</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2950" t="s">
        <v>3108</v>
      </c>
      <c r="D397" s="2949" t="s">
        <v>3290</v>
      </c>
      <c r="E397" s="35">
        <f t="shared" si="235"/>
        <v>129.07</v>
      </c>
      <c r="F397" s="44"/>
      <c r="G397" s="37">
        <f>H397+AC397+AT397</f>
        <v>65.41</v>
      </c>
      <c r="H397" s="38">
        <f>SUMIF(I$12:AB$12,"总值",I397:AB397)</f>
        <v>65.41</v>
      </c>
      <c r="I397" s="39">
        <v>65.41</v>
      </c>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t="str">
        <f t="shared" si="238"/>
        <v>310</v>
      </c>
      <c r="AY397" s="42">
        <f>ROUND($AY$6*AZ397/$AZ$5,2)</f>
        <v>129.07</v>
      </c>
      <c r="AZ397" s="35">
        <f>BA397+BL397</f>
        <v>65.41</v>
      </c>
      <c r="BA397" s="35">
        <f>SUM(BB397:BK397)</f>
        <v>65.41</v>
      </c>
      <c r="BB397" s="35">
        <f t="shared" si="216"/>
        <v>65.41</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6" t="s">
        <v>3109</v>
      </c>
      <c r="D398" s="2949" t="s">
        <v>3290</v>
      </c>
      <c r="E398" s="35">
        <f t="shared" ref="E398:E492" si="239">IF($C$3="是",ROUND($A$3*G398/$B$3,2),ROUND($A$3*(G398-AT398)/$B$3,2))</f>
        <v>104.36</v>
      </c>
      <c r="F398" s="36"/>
      <c r="G398" s="37">
        <f t="shared" ref="G398:G489" si="240">H398+AC398+AT398</f>
        <v>52.89</v>
      </c>
      <c r="H398" s="38">
        <f t="shared" ref="H398:H489" si="241">SUMIF(I$12:AB$12,"总值",I398:AB398)</f>
        <v>52.89</v>
      </c>
      <c r="I398" s="39">
        <v>52.89</v>
      </c>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t="str">
        <f t="shared" ref="AX398:AX492" si="245">C398</f>
        <v>311</v>
      </c>
      <c r="AY398" s="42">
        <f t="shared" ref="AY398:AY489" si="246">ROUND($AY$6*AZ398/$AZ$5,2)</f>
        <v>104.36</v>
      </c>
      <c r="AZ398" s="35">
        <f t="shared" ref="AZ398:AZ489" si="247">BA398+BL398</f>
        <v>52.89</v>
      </c>
      <c r="BA398" s="35">
        <f t="shared" ref="BA398:BA489" si="248">SUM(BB398:BK398)</f>
        <v>52.89</v>
      </c>
      <c r="BB398" s="35">
        <f t="shared" ref="BB398:BB489" si="249">IF($D398="是",I398-J398,0)</f>
        <v>52.89</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6" t="s">
        <v>3110</v>
      </c>
      <c r="D399" s="2949" t="s">
        <v>3290</v>
      </c>
      <c r="E399" s="35">
        <f t="shared" si="239"/>
        <v>103.65</v>
      </c>
      <c r="F399" s="36"/>
      <c r="G399" s="37">
        <f t="shared" si="240"/>
        <v>52.53</v>
      </c>
      <c r="H399" s="38">
        <f t="shared" si="241"/>
        <v>52.53</v>
      </c>
      <c r="I399" s="39">
        <v>52.53</v>
      </c>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t="str">
        <f t="shared" si="245"/>
        <v>312</v>
      </c>
      <c r="AY399" s="42">
        <f t="shared" si="246"/>
        <v>103.65</v>
      </c>
      <c r="AZ399" s="35">
        <f t="shared" si="247"/>
        <v>52.53</v>
      </c>
      <c r="BA399" s="35">
        <f t="shared" si="248"/>
        <v>52.53</v>
      </c>
      <c r="BB399" s="35">
        <f t="shared" si="249"/>
        <v>52.53</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6" t="s">
        <v>3111</v>
      </c>
      <c r="D400" s="2949" t="s">
        <v>3290</v>
      </c>
      <c r="E400" s="35">
        <f t="shared" si="239"/>
        <v>103.87</v>
      </c>
      <c r="F400" s="36"/>
      <c r="G400" s="37">
        <f t="shared" si="240"/>
        <v>52.64</v>
      </c>
      <c r="H400" s="38">
        <f t="shared" si="241"/>
        <v>52.64</v>
      </c>
      <c r="I400" s="39">
        <v>52.64</v>
      </c>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t="str">
        <f t="shared" si="245"/>
        <v>313</v>
      </c>
      <c r="AY400" s="42">
        <f t="shared" si="246"/>
        <v>103.87</v>
      </c>
      <c r="AZ400" s="35">
        <f t="shared" si="247"/>
        <v>52.64</v>
      </c>
      <c r="BA400" s="35">
        <f t="shared" si="248"/>
        <v>52.64</v>
      </c>
      <c r="BB400" s="35">
        <f t="shared" si="249"/>
        <v>52.64</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6" t="s">
        <v>3112</v>
      </c>
      <c r="D401" s="2949" t="s">
        <v>3290</v>
      </c>
      <c r="E401" s="35">
        <f t="shared" si="239"/>
        <v>142.15</v>
      </c>
      <c r="F401" s="36"/>
      <c r="G401" s="37">
        <f t="shared" si="240"/>
        <v>72.040000000000006</v>
      </c>
      <c r="H401" s="38">
        <f t="shared" si="241"/>
        <v>72.040000000000006</v>
      </c>
      <c r="I401" s="39">
        <v>72.040000000000006</v>
      </c>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t="str">
        <f t="shared" si="245"/>
        <v>314</v>
      </c>
      <c r="AY401" s="42">
        <f t="shared" si="246"/>
        <v>142.15</v>
      </c>
      <c r="AZ401" s="35">
        <f t="shared" si="247"/>
        <v>72.040000000000006</v>
      </c>
      <c r="BA401" s="35">
        <f t="shared" si="248"/>
        <v>72.040000000000006</v>
      </c>
      <c r="BB401" s="35">
        <f t="shared" si="249"/>
        <v>72.040000000000006</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6" t="s">
        <v>3121</v>
      </c>
      <c r="D402" s="2949" t="s">
        <v>3290</v>
      </c>
      <c r="E402" s="35">
        <f t="shared" si="239"/>
        <v>134.44</v>
      </c>
      <c r="F402" s="36"/>
      <c r="G402" s="37">
        <f t="shared" si="240"/>
        <v>68.13</v>
      </c>
      <c r="H402" s="38">
        <f t="shared" si="241"/>
        <v>68.13</v>
      </c>
      <c r="I402" s="39">
        <v>68.13</v>
      </c>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t="str">
        <f t="shared" si="245"/>
        <v>401</v>
      </c>
      <c r="AY402" s="42">
        <f t="shared" si="246"/>
        <v>134.44</v>
      </c>
      <c r="AZ402" s="35">
        <f t="shared" si="247"/>
        <v>68.13</v>
      </c>
      <c r="BA402" s="35">
        <f t="shared" si="248"/>
        <v>68.13</v>
      </c>
      <c r="BB402" s="35">
        <f t="shared" si="249"/>
        <v>68.13</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6" t="s">
        <v>3122</v>
      </c>
      <c r="D403" s="2949" t="s">
        <v>3290</v>
      </c>
      <c r="E403" s="35">
        <f t="shared" si="239"/>
        <v>103.87</v>
      </c>
      <c r="F403" s="36"/>
      <c r="G403" s="37">
        <f t="shared" si="240"/>
        <v>52.64</v>
      </c>
      <c r="H403" s="38">
        <f t="shared" si="241"/>
        <v>52.64</v>
      </c>
      <c r="I403" s="39">
        <v>52.64</v>
      </c>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t="str">
        <f t="shared" si="245"/>
        <v>402</v>
      </c>
      <c r="AY403" s="42">
        <f t="shared" si="246"/>
        <v>103.87</v>
      </c>
      <c r="AZ403" s="35">
        <f t="shared" si="247"/>
        <v>52.64</v>
      </c>
      <c r="BA403" s="35">
        <f t="shared" si="248"/>
        <v>52.64</v>
      </c>
      <c r="BB403" s="35">
        <f t="shared" si="249"/>
        <v>52.64</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6" t="s">
        <v>3123</v>
      </c>
      <c r="D404" s="2949" t="s">
        <v>3290</v>
      </c>
      <c r="E404" s="35">
        <f t="shared" si="239"/>
        <v>103.65</v>
      </c>
      <c r="F404" s="36"/>
      <c r="G404" s="37">
        <f t="shared" si="240"/>
        <v>52.53</v>
      </c>
      <c r="H404" s="38">
        <f t="shared" si="241"/>
        <v>52.53</v>
      </c>
      <c r="I404" s="39">
        <v>52.53</v>
      </c>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t="str">
        <f t="shared" si="245"/>
        <v>403</v>
      </c>
      <c r="AY404" s="42">
        <f t="shared" si="246"/>
        <v>103.65</v>
      </c>
      <c r="AZ404" s="35">
        <f t="shared" si="247"/>
        <v>52.53</v>
      </c>
      <c r="BA404" s="35">
        <f t="shared" si="248"/>
        <v>52.53</v>
      </c>
      <c r="BB404" s="35">
        <f t="shared" si="249"/>
        <v>52.53</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6" t="s">
        <v>3124</v>
      </c>
      <c r="D405" s="2949" t="s">
        <v>3290</v>
      </c>
      <c r="E405" s="35">
        <f t="shared" si="239"/>
        <v>104.36</v>
      </c>
      <c r="F405" s="36"/>
      <c r="G405" s="37">
        <f t="shared" si="240"/>
        <v>52.89</v>
      </c>
      <c r="H405" s="38">
        <f t="shared" si="241"/>
        <v>52.89</v>
      </c>
      <c r="I405" s="39">
        <v>52.89</v>
      </c>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t="str">
        <f t="shared" si="245"/>
        <v>404</v>
      </c>
      <c r="AY405" s="42">
        <f t="shared" si="246"/>
        <v>104.36</v>
      </c>
      <c r="AZ405" s="35">
        <f t="shared" si="247"/>
        <v>52.89</v>
      </c>
      <c r="BA405" s="35">
        <f t="shared" si="248"/>
        <v>52.89</v>
      </c>
      <c r="BB405" s="35">
        <f t="shared" si="249"/>
        <v>52.89</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6" t="s">
        <v>3125</v>
      </c>
      <c r="D406" s="2949" t="s">
        <v>3290</v>
      </c>
      <c r="E406" s="35">
        <f t="shared" si="239"/>
        <v>129.07</v>
      </c>
      <c r="F406" s="36"/>
      <c r="G406" s="37">
        <f t="shared" si="240"/>
        <v>65.41</v>
      </c>
      <c r="H406" s="38">
        <f t="shared" si="241"/>
        <v>65.41</v>
      </c>
      <c r="I406" s="39">
        <v>65.41</v>
      </c>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t="str">
        <f t="shared" si="245"/>
        <v>405</v>
      </c>
      <c r="AY406" s="42">
        <f t="shared" si="246"/>
        <v>129.07</v>
      </c>
      <c r="AZ406" s="35">
        <f t="shared" si="247"/>
        <v>65.41</v>
      </c>
      <c r="BA406" s="35">
        <f t="shared" si="248"/>
        <v>65.41</v>
      </c>
      <c r="BB406" s="35">
        <f t="shared" si="249"/>
        <v>65.41</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6" t="s">
        <v>3126</v>
      </c>
      <c r="D407" s="2949" t="s">
        <v>3290</v>
      </c>
      <c r="E407" s="35">
        <f t="shared" si="239"/>
        <v>110.03</v>
      </c>
      <c r="F407" s="36"/>
      <c r="G407" s="37">
        <f t="shared" si="240"/>
        <v>55.76</v>
      </c>
      <c r="H407" s="38">
        <f t="shared" si="241"/>
        <v>55.76</v>
      </c>
      <c r="I407" s="39">
        <v>55.76</v>
      </c>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t="str">
        <f t="shared" si="245"/>
        <v>406</v>
      </c>
      <c r="AY407" s="42">
        <f t="shared" si="246"/>
        <v>110.03</v>
      </c>
      <c r="AZ407" s="35">
        <f t="shared" si="247"/>
        <v>55.76</v>
      </c>
      <c r="BA407" s="35">
        <f t="shared" si="248"/>
        <v>55.76</v>
      </c>
      <c r="BB407" s="35">
        <f t="shared" si="249"/>
        <v>55.76</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6" t="s">
        <v>3127</v>
      </c>
      <c r="D408" s="2949" t="s">
        <v>3290</v>
      </c>
      <c r="E408" s="35">
        <f t="shared" si="239"/>
        <v>186.08</v>
      </c>
      <c r="F408" s="36"/>
      <c r="G408" s="37">
        <f t="shared" si="240"/>
        <v>94.3</v>
      </c>
      <c r="H408" s="38">
        <f t="shared" si="241"/>
        <v>94.3</v>
      </c>
      <c r="I408" s="39">
        <v>94.3</v>
      </c>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t="str">
        <f t="shared" si="245"/>
        <v>407</v>
      </c>
      <c r="AY408" s="42">
        <f t="shared" si="246"/>
        <v>186.08</v>
      </c>
      <c r="AZ408" s="35">
        <f t="shared" si="247"/>
        <v>94.3</v>
      </c>
      <c r="BA408" s="35">
        <f t="shared" si="248"/>
        <v>94.3</v>
      </c>
      <c r="BB408" s="35">
        <f t="shared" si="249"/>
        <v>94.3</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6" t="s">
        <v>3128</v>
      </c>
      <c r="D409" s="2949" t="s">
        <v>3290</v>
      </c>
      <c r="E409" s="35">
        <f t="shared" si="239"/>
        <v>186.08</v>
      </c>
      <c r="F409" s="36"/>
      <c r="G409" s="37">
        <f t="shared" si="240"/>
        <v>94.3</v>
      </c>
      <c r="H409" s="38">
        <f t="shared" si="241"/>
        <v>94.3</v>
      </c>
      <c r="I409" s="39">
        <v>94.3</v>
      </c>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t="str">
        <f t="shared" si="245"/>
        <v>408</v>
      </c>
      <c r="AY409" s="42">
        <f t="shared" si="246"/>
        <v>186.08</v>
      </c>
      <c r="AZ409" s="35">
        <f t="shared" si="247"/>
        <v>94.3</v>
      </c>
      <c r="BA409" s="35">
        <f t="shared" si="248"/>
        <v>94.3</v>
      </c>
      <c r="BB409" s="35">
        <f t="shared" si="249"/>
        <v>94.3</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6" t="s">
        <v>3129</v>
      </c>
      <c r="D410" s="2949" t="s">
        <v>3290</v>
      </c>
      <c r="E410" s="35">
        <f t="shared" si="239"/>
        <v>110.03</v>
      </c>
      <c r="F410" s="36"/>
      <c r="G410" s="37">
        <f t="shared" si="240"/>
        <v>55.76</v>
      </c>
      <c r="H410" s="38">
        <f t="shared" si="241"/>
        <v>55.76</v>
      </c>
      <c r="I410" s="39">
        <v>55.76</v>
      </c>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t="str">
        <f t="shared" si="245"/>
        <v>409</v>
      </c>
      <c r="AY410" s="42">
        <f t="shared" si="246"/>
        <v>110.03</v>
      </c>
      <c r="AZ410" s="35">
        <f t="shared" si="247"/>
        <v>55.76</v>
      </c>
      <c r="BA410" s="35">
        <f t="shared" si="248"/>
        <v>55.76</v>
      </c>
      <c r="BB410" s="35">
        <f t="shared" si="249"/>
        <v>55.76</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6" t="s">
        <v>3130</v>
      </c>
      <c r="D411" s="2949" t="s">
        <v>3290</v>
      </c>
      <c r="E411" s="35">
        <f t="shared" si="239"/>
        <v>129.07</v>
      </c>
      <c r="F411" s="36"/>
      <c r="G411" s="37">
        <f t="shared" si="240"/>
        <v>65.41</v>
      </c>
      <c r="H411" s="38">
        <f t="shared" si="241"/>
        <v>65.41</v>
      </c>
      <c r="I411" s="39">
        <v>65.41</v>
      </c>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t="str">
        <f t="shared" si="245"/>
        <v>410</v>
      </c>
      <c r="AY411" s="42">
        <f t="shared" si="246"/>
        <v>129.07</v>
      </c>
      <c r="AZ411" s="35">
        <f t="shared" si="247"/>
        <v>65.41</v>
      </c>
      <c r="BA411" s="35">
        <f t="shared" si="248"/>
        <v>65.41</v>
      </c>
      <c r="BB411" s="35">
        <f t="shared" si="249"/>
        <v>65.41</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6" t="s">
        <v>3131</v>
      </c>
      <c r="D412" s="2949" t="s">
        <v>3290</v>
      </c>
      <c r="E412" s="35">
        <f t="shared" si="239"/>
        <v>104.36</v>
      </c>
      <c r="F412" s="36"/>
      <c r="G412" s="37">
        <f t="shared" si="240"/>
        <v>52.89</v>
      </c>
      <c r="H412" s="38">
        <f t="shared" si="241"/>
        <v>52.89</v>
      </c>
      <c r="I412" s="39">
        <v>52.89</v>
      </c>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t="str">
        <f t="shared" si="245"/>
        <v>411</v>
      </c>
      <c r="AY412" s="42">
        <f t="shared" si="246"/>
        <v>104.36</v>
      </c>
      <c r="AZ412" s="35">
        <f t="shared" si="247"/>
        <v>52.89</v>
      </c>
      <c r="BA412" s="35">
        <f t="shared" si="248"/>
        <v>52.89</v>
      </c>
      <c r="BB412" s="35">
        <f t="shared" si="249"/>
        <v>52.89</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6" t="s">
        <v>3132</v>
      </c>
      <c r="D413" s="2949" t="s">
        <v>3290</v>
      </c>
      <c r="E413" s="35">
        <f t="shared" si="239"/>
        <v>103.65</v>
      </c>
      <c r="F413" s="36"/>
      <c r="G413" s="37">
        <f t="shared" si="240"/>
        <v>52.53</v>
      </c>
      <c r="H413" s="38">
        <f t="shared" si="241"/>
        <v>52.53</v>
      </c>
      <c r="I413" s="39">
        <v>52.53</v>
      </c>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t="str">
        <f t="shared" si="245"/>
        <v>412</v>
      </c>
      <c r="AY413" s="42">
        <f t="shared" si="246"/>
        <v>103.65</v>
      </c>
      <c r="AZ413" s="35">
        <f t="shared" si="247"/>
        <v>52.53</v>
      </c>
      <c r="BA413" s="35">
        <f t="shared" si="248"/>
        <v>52.53</v>
      </c>
      <c r="BB413" s="35">
        <f t="shared" si="249"/>
        <v>52.53</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6" t="s">
        <v>3133</v>
      </c>
      <c r="D414" s="2949" t="s">
        <v>3290</v>
      </c>
      <c r="E414" s="35">
        <f t="shared" si="239"/>
        <v>103.87</v>
      </c>
      <c r="F414" s="36"/>
      <c r="G414" s="37">
        <f t="shared" si="240"/>
        <v>52.64</v>
      </c>
      <c r="H414" s="38">
        <f t="shared" si="241"/>
        <v>52.64</v>
      </c>
      <c r="I414" s="39">
        <v>52.64</v>
      </c>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t="str">
        <f t="shared" si="245"/>
        <v>413</v>
      </c>
      <c r="AY414" s="42">
        <f t="shared" si="246"/>
        <v>103.87</v>
      </c>
      <c r="AZ414" s="35">
        <f t="shared" si="247"/>
        <v>52.64</v>
      </c>
      <c r="BA414" s="35">
        <f t="shared" si="248"/>
        <v>52.64</v>
      </c>
      <c r="BB414" s="35">
        <f t="shared" si="249"/>
        <v>52.64</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6" t="s">
        <v>3134</v>
      </c>
      <c r="D415" s="2949" t="s">
        <v>3290</v>
      </c>
      <c r="E415" s="35">
        <f t="shared" si="239"/>
        <v>142.15</v>
      </c>
      <c r="F415" s="36"/>
      <c r="G415" s="37">
        <f t="shared" si="240"/>
        <v>72.040000000000006</v>
      </c>
      <c r="H415" s="38">
        <f t="shared" si="241"/>
        <v>72.040000000000006</v>
      </c>
      <c r="I415" s="39">
        <v>72.040000000000006</v>
      </c>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t="str">
        <f t="shared" si="245"/>
        <v>414</v>
      </c>
      <c r="AY415" s="42">
        <f t="shared" si="246"/>
        <v>142.15</v>
      </c>
      <c r="AZ415" s="35">
        <f t="shared" si="247"/>
        <v>72.040000000000006</v>
      </c>
      <c r="BA415" s="35">
        <f t="shared" si="248"/>
        <v>72.040000000000006</v>
      </c>
      <c r="BB415" s="35">
        <f t="shared" si="249"/>
        <v>72.040000000000006</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6" t="s">
        <v>3143</v>
      </c>
      <c r="D416" s="2949" t="s">
        <v>3290</v>
      </c>
      <c r="E416" s="35">
        <f t="shared" si="239"/>
        <v>134.44</v>
      </c>
      <c r="F416" s="36"/>
      <c r="G416" s="37">
        <f t="shared" si="240"/>
        <v>68.13</v>
      </c>
      <c r="H416" s="38">
        <f t="shared" si="241"/>
        <v>68.13</v>
      </c>
      <c r="I416" s="39">
        <v>68.13</v>
      </c>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t="str">
        <f t="shared" si="245"/>
        <v>501</v>
      </c>
      <c r="AY416" s="42">
        <f t="shared" si="246"/>
        <v>134.44</v>
      </c>
      <c r="AZ416" s="35">
        <f t="shared" si="247"/>
        <v>68.13</v>
      </c>
      <c r="BA416" s="35">
        <f t="shared" si="248"/>
        <v>68.13</v>
      </c>
      <c r="BB416" s="35">
        <f t="shared" si="249"/>
        <v>68.13</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6" t="s">
        <v>3144</v>
      </c>
      <c r="D417" s="2949" t="s">
        <v>3290</v>
      </c>
      <c r="E417" s="35">
        <f t="shared" si="239"/>
        <v>103.87</v>
      </c>
      <c r="F417" s="36"/>
      <c r="G417" s="37">
        <f t="shared" si="240"/>
        <v>52.64</v>
      </c>
      <c r="H417" s="38">
        <f t="shared" si="241"/>
        <v>52.64</v>
      </c>
      <c r="I417" s="39">
        <v>52.64</v>
      </c>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t="str">
        <f t="shared" si="245"/>
        <v>502</v>
      </c>
      <c r="AY417" s="42">
        <f t="shared" si="246"/>
        <v>103.87</v>
      </c>
      <c r="AZ417" s="35">
        <f t="shared" si="247"/>
        <v>52.64</v>
      </c>
      <c r="BA417" s="35">
        <f t="shared" si="248"/>
        <v>52.64</v>
      </c>
      <c r="BB417" s="35">
        <f t="shared" si="249"/>
        <v>52.64</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6" t="s">
        <v>3145</v>
      </c>
      <c r="D418" s="2949" t="s">
        <v>3290</v>
      </c>
      <c r="E418" s="35">
        <f t="shared" si="239"/>
        <v>103.65</v>
      </c>
      <c r="F418" s="36"/>
      <c r="G418" s="37">
        <f t="shared" si="240"/>
        <v>52.53</v>
      </c>
      <c r="H418" s="38">
        <f t="shared" si="241"/>
        <v>52.53</v>
      </c>
      <c r="I418" s="39">
        <v>52.53</v>
      </c>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t="str">
        <f t="shared" si="245"/>
        <v>503</v>
      </c>
      <c r="AY418" s="42">
        <f t="shared" si="246"/>
        <v>103.65</v>
      </c>
      <c r="AZ418" s="35">
        <f t="shared" si="247"/>
        <v>52.53</v>
      </c>
      <c r="BA418" s="35">
        <f t="shared" si="248"/>
        <v>52.53</v>
      </c>
      <c r="BB418" s="35">
        <f t="shared" si="249"/>
        <v>52.53</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6" t="s">
        <v>3146</v>
      </c>
      <c r="D419" s="2949" t="s">
        <v>3290</v>
      </c>
      <c r="E419" s="35">
        <f t="shared" si="239"/>
        <v>104.36</v>
      </c>
      <c r="F419" s="36"/>
      <c r="G419" s="37">
        <f t="shared" si="240"/>
        <v>52.89</v>
      </c>
      <c r="H419" s="38">
        <f t="shared" si="241"/>
        <v>52.89</v>
      </c>
      <c r="I419" s="39">
        <v>52.89</v>
      </c>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t="str">
        <f t="shared" si="245"/>
        <v>504</v>
      </c>
      <c r="AY419" s="42">
        <f t="shared" si="246"/>
        <v>104.36</v>
      </c>
      <c r="AZ419" s="35">
        <f t="shared" si="247"/>
        <v>52.89</v>
      </c>
      <c r="BA419" s="35">
        <f t="shared" si="248"/>
        <v>52.89</v>
      </c>
      <c r="BB419" s="35">
        <f t="shared" si="249"/>
        <v>52.89</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6" t="s">
        <v>3147</v>
      </c>
      <c r="D420" s="2949" t="s">
        <v>3290</v>
      </c>
      <c r="E420" s="35">
        <f t="shared" si="239"/>
        <v>129.07</v>
      </c>
      <c r="F420" s="36"/>
      <c r="G420" s="37">
        <f t="shared" si="240"/>
        <v>65.41</v>
      </c>
      <c r="H420" s="38">
        <f t="shared" si="241"/>
        <v>65.41</v>
      </c>
      <c r="I420" s="39">
        <v>65.41</v>
      </c>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t="str">
        <f t="shared" si="245"/>
        <v>505</v>
      </c>
      <c r="AY420" s="42">
        <f t="shared" si="246"/>
        <v>129.07</v>
      </c>
      <c r="AZ420" s="35">
        <f t="shared" si="247"/>
        <v>65.41</v>
      </c>
      <c r="BA420" s="35">
        <f t="shared" si="248"/>
        <v>65.41</v>
      </c>
      <c r="BB420" s="35">
        <f t="shared" si="249"/>
        <v>65.41</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6" t="s">
        <v>3148</v>
      </c>
      <c r="D421" s="2949" t="s">
        <v>3290</v>
      </c>
      <c r="E421" s="35">
        <f t="shared" si="239"/>
        <v>110.03</v>
      </c>
      <c r="F421" s="36"/>
      <c r="G421" s="37">
        <f t="shared" si="240"/>
        <v>55.76</v>
      </c>
      <c r="H421" s="38">
        <f t="shared" si="241"/>
        <v>55.76</v>
      </c>
      <c r="I421" s="39">
        <v>55.76</v>
      </c>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t="str">
        <f t="shared" si="245"/>
        <v>506</v>
      </c>
      <c r="AY421" s="42">
        <f t="shared" si="246"/>
        <v>110.03</v>
      </c>
      <c r="AZ421" s="35">
        <f t="shared" si="247"/>
        <v>55.76</v>
      </c>
      <c r="BA421" s="35">
        <f t="shared" si="248"/>
        <v>55.76</v>
      </c>
      <c r="BB421" s="35">
        <f t="shared" si="249"/>
        <v>55.76</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6" t="s">
        <v>3149</v>
      </c>
      <c r="D422" s="2949" t="s">
        <v>3290</v>
      </c>
      <c r="E422" s="35">
        <f t="shared" si="239"/>
        <v>186.08</v>
      </c>
      <c r="F422" s="36"/>
      <c r="G422" s="37">
        <f t="shared" si="240"/>
        <v>94.3</v>
      </c>
      <c r="H422" s="38">
        <f t="shared" si="241"/>
        <v>94.3</v>
      </c>
      <c r="I422" s="39">
        <v>94.3</v>
      </c>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t="str">
        <f t="shared" si="245"/>
        <v>507</v>
      </c>
      <c r="AY422" s="42">
        <f t="shared" si="246"/>
        <v>186.08</v>
      </c>
      <c r="AZ422" s="35">
        <f t="shared" si="247"/>
        <v>94.3</v>
      </c>
      <c r="BA422" s="35">
        <f t="shared" si="248"/>
        <v>94.3</v>
      </c>
      <c r="BB422" s="35">
        <f t="shared" si="249"/>
        <v>94.3</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6" t="s">
        <v>3150</v>
      </c>
      <c r="D423" s="2949" t="s">
        <v>3290</v>
      </c>
      <c r="E423" s="35">
        <f t="shared" si="239"/>
        <v>186.08</v>
      </c>
      <c r="F423" s="36"/>
      <c r="G423" s="37">
        <f t="shared" si="240"/>
        <v>94.3</v>
      </c>
      <c r="H423" s="38">
        <f t="shared" si="241"/>
        <v>94.3</v>
      </c>
      <c r="I423" s="39">
        <v>94.3</v>
      </c>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t="str">
        <f t="shared" si="245"/>
        <v>508</v>
      </c>
      <c r="AY423" s="42">
        <f t="shared" si="246"/>
        <v>186.08</v>
      </c>
      <c r="AZ423" s="35">
        <f t="shared" si="247"/>
        <v>94.3</v>
      </c>
      <c r="BA423" s="35">
        <f t="shared" si="248"/>
        <v>94.3</v>
      </c>
      <c r="BB423" s="35">
        <f t="shared" si="249"/>
        <v>94.3</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6" t="s">
        <v>3151</v>
      </c>
      <c r="D424" s="2949" t="s">
        <v>3290</v>
      </c>
      <c r="E424" s="35">
        <f t="shared" si="239"/>
        <v>110.03</v>
      </c>
      <c r="F424" s="36"/>
      <c r="G424" s="37">
        <f t="shared" si="240"/>
        <v>55.76</v>
      </c>
      <c r="H424" s="38">
        <f t="shared" si="241"/>
        <v>55.76</v>
      </c>
      <c r="I424" s="39">
        <v>55.76</v>
      </c>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t="str">
        <f t="shared" si="245"/>
        <v>509</v>
      </c>
      <c r="AY424" s="42">
        <f t="shared" si="246"/>
        <v>110.03</v>
      </c>
      <c r="AZ424" s="35">
        <f t="shared" si="247"/>
        <v>55.76</v>
      </c>
      <c r="BA424" s="35">
        <f t="shared" si="248"/>
        <v>55.76</v>
      </c>
      <c r="BB424" s="35">
        <f t="shared" si="249"/>
        <v>55.76</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6" t="s">
        <v>3152</v>
      </c>
      <c r="D425" s="2949" t="s">
        <v>3290</v>
      </c>
      <c r="E425" s="35">
        <f t="shared" si="239"/>
        <v>129.07</v>
      </c>
      <c r="F425" s="36"/>
      <c r="G425" s="37">
        <f t="shared" si="240"/>
        <v>65.41</v>
      </c>
      <c r="H425" s="38">
        <f t="shared" si="241"/>
        <v>65.41</v>
      </c>
      <c r="I425" s="39">
        <v>65.41</v>
      </c>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t="str">
        <f t="shared" si="245"/>
        <v>510</v>
      </c>
      <c r="AY425" s="42">
        <f t="shared" si="246"/>
        <v>129.07</v>
      </c>
      <c r="AZ425" s="35">
        <f t="shared" si="247"/>
        <v>65.41</v>
      </c>
      <c r="BA425" s="35">
        <f t="shared" si="248"/>
        <v>65.41</v>
      </c>
      <c r="BB425" s="35">
        <f t="shared" si="249"/>
        <v>65.41</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6" t="s">
        <v>3153</v>
      </c>
      <c r="D426" s="2949" t="s">
        <v>3290</v>
      </c>
      <c r="E426" s="35">
        <f t="shared" si="239"/>
        <v>104.36</v>
      </c>
      <c r="F426" s="36"/>
      <c r="G426" s="37">
        <f t="shared" si="240"/>
        <v>52.89</v>
      </c>
      <c r="H426" s="38">
        <f t="shared" si="241"/>
        <v>52.89</v>
      </c>
      <c r="I426" s="39">
        <v>52.89</v>
      </c>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t="str">
        <f t="shared" si="245"/>
        <v>511</v>
      </c>
      <c r="AY426" s="42">
        <f t="shared" si="246"/>
        <v>104.36</v>
      </c>
      <c r="AZ426" s="35">
        <f t="shared" si="247"/>
        <v>52.89</v>
      </c>
      <c r="BA426" s="35">
        <f t="shared" si="248"/>
        <v>52.89</v>
      </c>
      <c r="BB426" s="35">
        <f t="shared" si="249"/>
        <v>52.89</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6" t="s">
        <v>3154</v>
      </c>
      <c r="D427" s="2949" t="s">
        <v>3290</v>
      </c>
      <c r="E427" s="35">
        <f t="shared" si="239"/>
        <v>103.65</v>
      </c>
      <c r="F427" s="36"/>
      <c r="G427" s="37">
        <f t="shared" si="240"/>
        <v>52.53</v>
      </c>
      <c r="H427" s="38">
        <f t="shared" si="241"/>
        <v>52.53</v>
      </c>
      <c r="I427" s="39">
        <v>52.53</v>
      </c>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t="str">
        <f t="shared" si="245"/>
        <v>512</v>
      </c>
      <c r="AY427" s="42">
        <f t="shared" si="246"/>
        <v>103.65</v>
      </c>
      <c r="AZ427" s="35">
        <f t="shared" si="247"/>
        <v>52.53</v>
      </c>
      <c r="BA427" s="35">
        <f t="shared" si="248"/>
        <v>52.53</v>
      </c>
      <c r="BB427" s="35">
        <f t="shared" si="249"/>
        <v>52.53</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6" t="s">
        <v>3155</v>
      </c>
      <c r="D428" s="2949" t="s">
        <v>3290</v>
      </c>
      <c r="E428" s="35">
        <f t="shared" si="239"/>
        <v>103.87</v>
      </c>
      <c r="F428" s="36"/>
      <c r="G428" s="37">
        <f t="shared" si="240"/>
        <v>52.64</v>
      </c>
      <c r="H428" s="38">
        <f t="shared" si="241"/>
        <v>52.64</v>
      </c>
      <c r="I428" s="39">
        <v>52.64</v>
      </c>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t="str">
        <f t="shared" si="245"/>
        <v>513</v>
      </c>
      <c r="AY428" s="42">
        <f t="shared" si="246"/>
        <v>103.87</v>
      </c>
      <c r="AZ428" s="35">
        <f t="shared" si="247"/>
        <v>52.64</v>
      </c>
      <c r="BA428" s="35">
        <f t="shared" si="248"/>
        <v>52.64</v>
      </c>
      <c r="BB428" s="35">
        <f t="shared" si="249"/>
        <v>52.64</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6" t="s">
        <v>3156</v>
      </c>
      <c r="D429" s="2949" t="s">
        <v>3290</v>
      </c>
      <c r="E429" s="35">
        <f t="shared" si="239"/>
        <v>142.15</v>
      </c>
      <c r="F429" s="36"/>
      <c r="G429" s="37">
        <f t="shared" si="240"/>
        <v>72.040000000000006</v>
      </c>
      <c r="H429" s="38">
        <f t="shared" si="241"/>
        <v>72.040000000000006</v>
      </c>
      <c r="I429" s="39">
        <v>72.040000000000006</v>
      </c>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t="str">
        <f t="shared" si="245"/>
        <v>514</v>
      </c>
      <c r="AY429" s="42">
        <f t="shared" si="246"/>
        <v>142.15</v>
      </c>
      <c r="AZ429" s="35">
        <f t="shared" si="247"/>
        <v>72.040000000000006</v>
      </c>
      <c r="BA429" s="35">
        <f t="shared" si="248"/>
        <v>72.040000000000006</v>
      </c>
      <c r="BB429" s="35">
        <f t="shared" si="249"/>
        <v>72.040000000000006</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6" t="s">
        <v>3164</v>
      </c>
      <c r="D430" s="2949" t="s">
        <v>3290</v>
      </c>
      <c r="E430" s="35">
        <f t="shared" si="239"/>
        <v>134.44</v>
      </c>
      <c r="F430" s="36"/>
      <c r="G430" s="37">
        <f t="shared" si="240"/>
        <v>68.13</v>
      </c>
      <c r="H430" s="38">
        <f t="shared" si="241"/>
        <v>68.13</v>
      </c>
      <c r="I430" s="39">
        <v>68.13</v>
      </c>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t="str">
        <f t="shared" si="245"/>
        <v>601</v>
      </c>
      <c r="AY430" s="42">
        <f t="shared" si="246"/>
        <v>134.44</v>
      </c>
      <c r="AZ430" s="35">
        <f t="shared" si="247"/>
        <v>68.13</v>
      </c>
      <c r="BA430" s="35">
        <f t="shared" si="248"/>
        <v>68.13</v>
      </c>
      <c r="BB430" s="35">
        <f t="shared" si="249"/>
        <v>68.13</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6" t="s">
        <v>3165</v>
      </c>
      <c r="D431" s="2949" t="s">
        <v>3290</v>
      </c>
      <c r="E431" s="35">
        <f t="shared" si="239"/>
        <v>103.87</v>
      </c>
      <c r="F431" s="36"/>
      <c r="G431" s="37">
        <f t="shared" si="240"/>
        <v>52.64</v>
      </c>
      <c r="H431" s="38">
        <f t="shared" si="241"/>
        <v>52.64</v>
      </c>
      <c r="I431" s="39">
        <v>52.64</v>
      </c>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t="str">
        <f t="shared" si="245"/>
        <v>602</v>
      </c>
      <c r="AY431" s="42">
        <f t="shared" si="246"/>
        <v>103.87</v>
      </c>
      <c r="AZ431" s="35">
        <f t="shared" si="247"/>
        <v>52.64</v>
      </c>
      <c r="BA431" s="35">
        <f t="shared" si="248"/>
        <v>52.64</v>
      </c>
      <c r="BB431" s="35">
        <f t="shared" si="249"/>
        <v>52.64</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6" t="s">
        <v>3166</v>
      </c>
      <c r="D432" s="2949" t="s">
        <v>3290</v>
      </c>
      <c r="E432" s="35">
        <f t="shared" si="239"/>
        <v>103.65</v>
      </c>
      <c r="F432" s="36"/>
      <c r="G432" s="37">
        <f t="shared" si="240"/>
        <v>52.53</v>
      </c>
      <c r="H432" s="38">
        <f t="shared" si="241"/>
        <v>52.53</v>
      </c>
      <c r="I432" s="39">
        <v>52.53</v>
      </c>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t="str">
        <f t="shared" si="245"/>
        <v>603</v>
      </c>
      <c r="AY432" s="42">
        <f t="shared" si="246"/>
        <v>103.65</v>
      </c>
      <c r="AZ432" s="35">
        <f t="shared" si="247"/>
        <v>52.53</v>
      </c>
      <c r="BA432" s="35">
        <f t="shared" si="248"/>
        <v>52.53</v>
      </c>
      <c r="BB432" s="35">
        <f t="shared" si="249"/>
        <v>52.53</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6" t="s">
        <v>3167</v>
      </c>
      <c r="D433" s="2949" t="s">
        <v>3290</v>
      </c>
      <c r="E433" s="35">
        <f t="shared" si="239"/>
        <v>104.36</v>
      </c>
      <c r="F433" s="36"/>
      <c r="G433" s="37">
        <f t="shared" si="240"/>
        <v>52.89</v>
      </c>
      <c r="H433" s="38">
        <f t="shared" si="241"/>
        <v>52.89</v>
      </c>
      <c r="I433" s="39">
        <v>52.89</v>
      </c>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t="str">
        <f t="shared" si="245"/>
        <v>604</v>
      </c>
      <c r="AY433" s="42">
        <f t="shared" si="246"/>
        <v>104.36</v>
      </c>
      <c r="AZ433" s="35">
        <f t="shared" si="247"/>
        <v>52.89</v>
      </c>
      <c r="BA433" s="35">
        <f t="shared" si="248"/>
        <v>52.89</v>
      </c>
      <c r="BB433" s="35">
        <f t="shared" si="249"/>
        <v>52.89</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6" t="s">
        <v>3168</v>
      </c>
      <c r="D434" s="2949" t="s">
        <v>3290</v>
      </c>
      <c r="E434" s="35">
        <f t="shared" si="239"/>
        <v>129.07</v>
      </c>
      <c r="F434" s="36"/>
      <c r="G434" s="37">
        <f t="shared" si="240"/>
        <v>65.41</v>
      </c>
      <c r="H434" s="38">
        <f t="shared" si="241"/>
        <v>65.41</v>
      </c>
      <c r="I434" s="39">
        <v>65.41</v>
      </c>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t="str">
        <f t="shared" si="245"/>
        <v>605</v>
      </c>
      <c r="AY434" s="42">
        <f t="shared" si="246"/>
        <v>129.07</v>
      </c>
      <c r="AZ434" s="35">
        <f t="shared" si="247"/>
        <v>65.41</v>
      </c>
      <c r="BA434" s="35">
        <f t="shared" si="248"/>
        <v>65.41</v>
      </c>
      <c r="BB434" s="35">
        <f t="shared" si="249"/>
        <v>65.41</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6" t="s">
        <v>3169</v>
      </c>
      <c r="D435" s="2949" t="s">
        <v>3290</v>
      </c>
      <c r="E435" s="35">
        <f t="shared" si="239"/>
        <v>110.03</v>
      </c>
      <c r="F435" s="36"/>
      <c r="G435" s="37">
        <f t="shared" si="240"/>
        <v>55.76</v>
      </c>
      <c r="H435" s="38">
        <f t="shared" si="241"/>
        <v>55.76</v>
      </c>
      <c r="I435" s="39">
        <v>55.76</v>
      </c>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t="str">
        <f t="shared" si="245"/>
        <v>606</v>
      </c>
      <c r="AY435" s="42">
        <f t="shared" si="246"/>
        <v>110.03</v>
      </c>
      <c r="AZ435" s="35">
        <f t="shared" si="247"/>
        <v>55.76</v>
      </c>
      <c r="BA435" s="35">
        <f t="shared" si="248"/>
        <v>55.76</v>
      </c>
      <c r="BB435" s="35">
        <f t="shared" si="249"/>
        <v>55.76</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6" t="s">
        <v>3170</v>
      </c>
      <c r="D436" s="2949" t="s">
        <v>3290</v>
      </c>
      <c r="E436" s="35">
        <f t="shared" si="239"/>
        <v>186.08</v>
      </c>
      <c r="F436" s="36"/>
      <c r="G436" s="37">
        <f t="shared" si="240"/>
        <v>94.3</v>
      </c>
      <c r="H436" s="38">
        <f t="shared" si="241"/>
        <v>94.3</v>
      </c>
      <c r="I436" s="39">
        <v>94.3</v>
      </c>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t="str">
        <f t="shared" si="245"/>
        <v>607</v>
      </c>
      <c r="AY436" s="42">
        <f t="shared" si="246"/>
        <v>186.08</v>
      </c>
      <c r="AZ436" s="35">
        <f t="shared" si="247"/>
        <v>94.3</v>
      </c>
      <c r="BA436" s="35">
        <f t="shared" si="248"/>
        <v>94.3</v>
      </c>
      <c r="BB436" s="35">
        <f t="shared" si="249"/>
        <v>94.3</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6" t="s">
        <v>3171</v>
      </c>
      <c r="D437" s="2949" t="s">
        <v>3290</v>
      </c>
      <c r="E437" s="35">
        <f t="shared" si="239"/>
        <v>186.08</v>
      </c>
      <c r="F437" s="36"/>
      <c r="G437" s="37">
        <f t="shared" si="240"/>
        <v>94.3</v>
      </c>
      <c r="H437" s="38">
        <f t="shared" si="241"/>
        <v>94.3</v>
      </c>
      <c r="I437" s="39">
        <v>94.3</v>
      </c>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t="str">
        <f t="shared" si="245"/>
        <v>608</v>
      </c>
      <c r="AY437" s="42">
        <f t="shared" si="246"/>
        <v>186.08</v>
      </c>
      <c r="AZ437" s="35">
        <f t="shared" si="247"/>
        <v>94.3</v>
      </c>
      <c r="BA437" s="35">
        <f t="shared" si="248"/>
        <v>94.3</v>
      </c>
      <c r="BB437" s="35">
        <f t="shared" si="249"/>
        <v>94.3</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6" t="s">
        <v>3172</v>
      </c>
      <c r="D438" s="2949" t="s">
        <v>3290</v>
      </c>
      <c r="E438" s="35">
        <f t="shared" si="239"/>
        <v>110.03</v>
      </c>
      <c r="F438" s="36"/>
      <c r="G438" s="37">
        <f t="shared" si="240"/>
        <v>55.76</v>
      </c>
      <c r="H438" s="38">
        <f t="shared" si="241"/>
        <v>55.76</v>
      </c>
      <c r="I438" s="39">
        <v>55.76</v>
      </c>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t="str">
        <f t="shared" si="245"/>
        <v>609</v>
      </c>
      <c r="AY438" s="42">
        <f t="shared" si="246"/>
        <v>110.03</v>
      </c>
      <c r="AZ438" s="35">
        <f t="shared" si="247"/>
        <v>55.76</v>
      </c>
      <c r="BA438" s="35">
        <f t="shared" si="248"/>
        <v>55.76</v>
      </c>
      <c r="BB438" s="35">
        <f t="shared" si="249"/>
        <v>55.76</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6" t="s">
        <v>3173</v>
      </c>
      <c r="D439" s="2949" t="s">
        <v>3290</v>
      </c>
      <c r="E439" s="35">
        <f t="shared" si="239"/>
        <v>129.07</v>
      </c>
      <c r="F439" s="36"/>
      <c r="G439" s="37">
        <f t="shared" si="240"/>
        <v>65.41</v>
      </c>
      <c r="H439" s="38">
        <f t="shared" si="241"/>
        <v>65.41</v>
      </c>
      <c r="I439" s="39">
        <v>65.41</v>
      </c>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t="str">
        <f t="shared" si="245"/>
        <v>610</v>
      </c>
      <c r="AY439" s="42">
        <f t="shared" si="246"/>
        <v>129.07</v>
      </c>
      <c r="AZ439" s="35">
        <f t="shared" si="247"/>
        <v>65.41</v>
      </c>
      <c r="BA439" s="35">
        <f t="shared" si="248"/>
        <v>65.41</v>
      </c>
      <c r="BB439" s="35">
        <f t="shared" si="249"/>
        <v>65.41</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6" t="s">
        <v>3174</v>
      </c>
      <c r="D440" s="2949" t="s">
        <v>3290</v>
      </c>
      <c r="E440" s="35">
        <f t="shared" si="239"/>
        <v>104.36</v>
      </c>
      <c r="F440" s="36"/>
      <c r="G440" s="37">
        <f t="shared" si="240"/>
        <v>52.89</v>
      </c>
      <c r="H440" s="38">
        <f t="shared" si="241"/>
        <v>52.89</v>
      </c>
      <c r="I440" s="39">
        <v>52.89</v>
      </c>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t="str">
        <f t="shared" si="245"/>
        <v>611</v>
      </c>
      <c r="AY440" s="42">
        <f t="shared" si="246"/>
        <v>104.36</v>
      </c>
      <c r="AZ440" s="35">
        <f t="shared" si="247"/>
        <v>52.89</v>
      </c>
      <c r="BA440" s="35">
        <f t="shared" si="248"/>
        <v>52.89</v>
      </c>
      <c r="BB440" s="35">
        <f t="shared" si="249"/>
        <v>52.89</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6" t="s">
        <v>3175</v>
      </c>
      <c r="D441" s="2949" t="s">
        <v>3290</v>
      </c>
      <c r="E441" s="35">
        <f t="shared" si="239"/>
        <v>103.65</v>
      </c>
      <c r="F441" s="36"/>
      <c r="G441" s="37">
        <f t="shared" si="240"/>
        <v>52.53</v>
      </c>
      <c r="H441" s="38">
        <f t="shared" si="241"/>
        <v>52.53</v>
      </c>
      <c r="I441" s="39">
        <v>52.53</v>
      </c>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t="str">
        <f t="shared" si="245"/>
        <v>612</v>
      </c>
      <c r="AY441" s="42">
        <f t="shared" si="246"/>
        <v>103.65</v>
      </c>
      <c r="AZ441" s="35">
        <f t="shared" si="247"/>
        <v>52.53</v>
      </c>
      <c r="BA441" s="35">
        <f t="shared" si="248"/>
        <v>52.53</v>
      </c>
      <c r="BB441" s="35">
        <f t="shared" si="249"/>
        <v>52.53</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6" t="s">
        <v>3176</v>
      </c>
      <c r="D442" s="2949" t="s">
        <v>3290</v>
      </c>
      <c r="E442" s="35">
        <f t="shared" si="239"/>
        <v>103.87</v>
      </c>
      <c r="F442" s="36"/>
      <c r="G442" s="37">
        <f t="shared" si="240"/>
        <v>52.64</v>
      </c>
      <c r="H442" s="38">
        <f t="shared" si="241"/>
        <v>52.64</v>
      </c>
      <c r="I442" s="39">
        <v>52.64</v>
      </c>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t="str">
        <f t="shared" si="245"/>
        <v>613</v>
      </c>
      <c r="AY442" s="42">
        <f t="shared" si="246"/>
        <v>103.87</v>
      </c>
      <c r="AZ442" s="35">
        <f t="shared" si="247"/>
        <v>52.64</v>
      </c>
      <c r="BA442" s="35">
        <f t="shared" si="248"/>
        <v>52.64</v>
      </c>
      <c r="BB442" s="35">
        <f t="shared" si="249"/>
        <v>52.64</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6" t="s">
        <v>3177</v>
      </c>
      <c r="D443" s="2949" t="s">
        <v>3290</v>
      </c>
      <c r="E443" s="35">
        <f t="shared" si="239"/>
        <v>142.15</v>
      </c>
      <c r="F443" s="36"/>
      <c r="G443" s="37">
        <f t="shared" si="240"/>
        <v>72.040000000000006</v>
      </c>
      <c r="H443" s="38">
        <f t="shared" si="241"/>
        <v>72.040000000000006</v>
      </c>
      <c r="I443" s="39">
        <v>72.040000000000006</v>
      </c>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t="str">
        <f t="shared" si="245"/>
        <v>614</v>
      </c>
      <c r="AY443" s="42">
        <f t="shared" si="246"/>
        <v>142.15</v>
      </c>
      <c r="AZ443" s="35">
        <f t="shared" si="247"/>
        <v>72.040000000000006</v>
      </c>
      <c r="BA443" s="35">
        <f t="shared" si="248"/>
        <v>72.040000000000006</v>
      </c>
      <c r="BB443" s="35">
        <f t="shared" si="249"/>
        <v>72.040000000000006</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6" t="s">
        <v>3185</v>
      </c>
      <c r="D444" s="2949" t="s">
        <v>3290</v>
      </c>
      <c r="E444" s="35">
        <f t="shared" si="239"/>
        <v>135.16999999999999</v>
      </c>
      <c r="F444" s="36"/>
      <c r="G444" s="37">
        <f t="shared" si="240"/>
        <v>68.5</v>
      </c>
      <c r="H444" s="38">
        <f t="shared" si="241"/>
        <v>68.5</v>
      </c>
      <c r="I444" s="39">
        <v>68.5</v>
      </c>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t="str">
        <f t="shared" si="245"/>
        <v>701</v>
      </c>
      <c r="AY444" s="42">
        <f t="shared" si="246"/>
        <v>135.16999999999999</v>
      </c>
      <c r="AZ444" s="35">
        <f t="shared" si="247"/>
        <v>68.5</v>
      </c>
      <c r="BA444" s="35">
        <f t="shared" si="248"/>
        <v>68.5</v>
      </c>
      <c r="BB444" s="35">
        <f t="shared" si="249"/>
        <v>68.5</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6" t="s">
        <v>3186</v>
      </c>
      <c r="D445" s="2949" t="s">
        <v>3290</v>
      </c>
      <c r="E445" s="35">
        <f t="shared" si="239"/>
        <v>104.42</v>
      </c>
      <c r="F445" s="36"/>
      <c r="G445" s="37">
        <f t="shared" si="240"/>
        <v>52.92</v>
      </c>
      <c r="H445" s="38">
        <f t="shared" si="241"/>
        <v>52.92</v>
      </c>
      <c r="I445" s="39">
        <v>52.92</v>
      </c>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t="str">
        <f t="shared" si="245"/>
        <v>702</v>
      </c>
      <c r="AY445" s="42">
        <f t="shared" si="246"/>
        <v>104.42</v>
      </c>
      <c r="AZ445" s="35">
        <f t="shared" si="247"/>
        <v>52.92</v>
      </c>
      <c r="BA445" s="35">
        <f t="shared" si="248"/>
        <v>52.92</v>
      </c>
      <c r="BB445" s="35">
        <f t="shared" si="249"/>
        <v>52.92</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6" t="s">
        <v>3187</v>
      </c>
      <c r="D446" s="2949" t="s">
        <v>3290</v>
      </c>
      <c r="E446" s="35">
        <f t="shared" si="239"/>
        <v>104.21</v>
      </c>
      <c r="F446" s="36"/>
      <c r="G446" s="37">
        <f t="shared" si="240"/>
        <v>52.81</v>
      </c>
      <c r="H446" s="38">
        <f t="shared" si="241"/>
        <v>52.81</v>
      </c>
      <c r="I446" s="39">
        <v>52.81</v>
      </c>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t="str">
        <f t="shared" si="245"/>
        <v>703</v>
      </c>
      <c r="AY446" s="42">
        <f t="shared" si="246"/>
        <v>104.21</v>
      </c>
      <c r="AZ446" s="35">
        <f t="shared" si="247"/>
        <v>52.81</v>
      </c>
      <c r="BA446" s="35">
        <f t="shared" si="248"/>
        <v>52.81</v>
      </c>
      <c r="BB446" s="35">
        <f t="shared" si="249"/>
        <v>52.81</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6" t="s">
        <v>3188</v>
      </c>
      <c r="D447" s="2949" t="s">
        <v>3290</v>
      </c>
      <c r="E447" s="35">
        <f t="shared" si="239"/>
        <v>104.92</v>
      </c>
      <c r="F447" s="36"/>
      <c r="G447" s="37">
        <f t="shared" si="240"/>
        <v>53.17</v>
      </c>
      <c r="H447" s="38">
        <f t="shared" si="241"/>
        <v>53.17</v>
      </c>
      <c r="I447" s="39">
        <v>53.17</v>
      </c>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t="str">
        <f t="shared" si="245"/>
        <v>704</v>
      </c>
      <c r="AY447" s="42">
        <f t="shared" si="246"/>
        <v>104.92</v>
      </c>
      <c r="AZ447" s="35">
        <f t="shared" si="247"/>
        <v>53.17</v>
      </c>
      <c r="BA447" s="35">
        <f t="shared" si="248"/>
        <v>53.17</v>
      </c>
      <c r="BB447" s="35">
        <f t="shared" si="249"/>
        <v>53.17</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6" t="s">
        <v>3189</v>
      </c>
      <c r="D448" s="2949" t="s">
        <v>3290</v>
      </c>
      <c r="E448" s="35">
        <f t="shared" si="239"/>
        <v>129.76</v>
      </c>
      <c r="F448" s="36"/>
      <c r="G448" s="37">
        <f t="shared" si="240"/>
        <v>65.760000000000005</v>
      </c>
      <c r="H448" s="38">
        <f t="shared" si="241"/>
        <v>65.760000000000005</v>
      </c>
      <c r="I448" s="39">
        <v>65.760000000000005</v>
      </c>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t="str">
        <f t="shared" si="245"/>
        <v>705</v>
      </c>
      <c r="AY448" s="42">
        <f t="shared" si="246"/>
        <v>129.76</v>
      </c>
      <c r="AZ448" s="35">
        <f t="shared" si="247"/>
        <v>65.760000000000005</v>
      </c>
      <c r="BA448" s="35">
        <f t="shared" si="248"/>
        <v>65.760000000000005</v>
      </c>
      <c r="BB448" s="35">
        <f t="shared" si="249"/>
        <v>65.760000000000005</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6"/>
      <c r="D449" s="2949" t="s">
        <v>3286</v>
      </c>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6"/>
      <c r="D450" s="2949" t="s">
        <v>3286</v>
      </c>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6"/>
      <c r="D451" s="2949" t="s">
        <v>3286</v>
      </c>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6"/>
      <c r="D452" s="2949" t="s">
        <v>3286</v>
      </c>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6" t="s">
        <v>3194</v>
      </c>
      <c r="D453" s="2949" t="s">
        <v>3290</v>
      </c>
      <c r="E453" s="35">
        <f t="shared" si="239"/>
        <v>129.76</v>
      </c>
      <c r="F453" s="36"/>
      <c r="G453" s="37">
        <f t="shared" si="240"/>
        <v>65.760000000000005</v>
      </c>
      <c r="H453" s="38">
        <f t="shared" si="241"/>
        <v>65.760000000000005</v>
      </c>
      <c r="I453" s="39">
        <v>65.760000000000005</v>
      </c>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t="str">
        <f t="shared" si="245"/>
        <v>710</v>
      </c>
      <c r="AY453" s="42">
        <f t="shared" si="246"/>
        <v>129.76</v>
      </c>
      <c r="AZ453" s="35">
        <f t="shared" si="247"/>
        <v>65.760000000000005</v>
      </c>
      <c r="BA453" s="35">
        <f t="shared" si="248"/>
        <v>65.760000000000005</v>
      </c>
      <c r="BB453" s="35">
        <f t="shared" si="249"/>
        <v>65.760000000000005</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6" t="s">
        <v>3195</v>
      </c>
      <c r="D454" s="2949" t="s">
        <v>3290</v>
      </c>
      <c r="E454" s="35">
        <f t="shared" si="239"/>
        <v>104.92</v>
      </c>
      <c r="F454" s="36"/>
      <c r="G454" s="37">
        <f t="shared" si="240"/>
        <v>53.17</v>
      </c>
      <c r="H454" s="38">
        <f t="shared" si="241"/>
        <v>53.17</v>
      </c>
      <c r="I454" s="39">
        <v>53.17</v>
      </c>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t="str">
        <f t="shared" si="245"/>
        <v>711</v>
      </c>
      <c r="AY454" s="42">
        <f t="shared" si="246"/>
        <v>104.92</v>
      </c>
      <c r="AZ454" s="35">
        <f t="shared" si="247"/>
        <v>53.17</v>
      </c>
      <c r="BA454" s="35">
        <f t="shared" si="248"/>
        <v>53.17</v>
      </c>
      <c r="BB454" s="35">
        <f t="shared" si="249"/>
        <v>53.17</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6" t="s">
        <v>3196</v>
      </c>
      <c r="D455" s="2949" t="s">
        <v>3290</v>
      </c>
      <c r="E455" s="35">
        <f t="shared" si="239"/>
        <v>104.21</v>
      </c>
      <c r="F455" s="36"/>
      <c r="G455" s="37">
        <f t="shared" si="240"/>
        <v>52.81</v>
      </c>
      <c r="H455" s="38">
        <f t="shared" si="241"/>
        <v>52.81</v>
      </c>
      <c r="I455" s="39">
        <v>52.81</v>
      </c>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t="str">
        <f t="shared" si="245"/>
        <v>712</v>
      </c>
      <c r="AY455" s="42">
        <f t="shared" si="246"/>
        <v>104.21</v>
      </c>
      <c r="AZ455" s="35">
        <f t="shared" si="247"/>
        <v>52.81</v>
      </c>
      <c r="BA455" s="35">
        <f t="shared" si="248"/>
        <v>52.81</v>
      </c>
      <c r="BB455" s="35">
        <f t="shared" si="249"/>
        <v>52.81</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6" t="s">
        <v>3197</v>
      </c>
      <c r="D456" s="2949" t="s">
        <v>3290</v>
      </c>
      <c r="E456" s="35">
        <f t="shared" si="239"/>
        <v>104.42</v>
      </c>
      <c r="F456" s="36"/>
      <c r="G456" s="37">
        <f t="shared" si="240"/>
        <v>52.92</v>
      </c>
      <c r="H456" s="38">
        <f t="shared" si="241"/>
        <v>52.92</v>
      </c>
      <c r="I456" s="39">
        <v>52.92</v>
      </c>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t="str">
        <f t="shared" si="245"/>
        <v>713</v>
      </c>
      <c r="AY456" s="42">
        <f t="shared" si="246"/>
        <v>104.42</v>
      </c>
      <c r="AZ456" s="35">
        <f t="shared" si="247"/>
        <v>52.92</v>
      </c>
      <c r="BA456" s="35">
        <f t="shared" si="248"/>
        <v>52.92</v>
      </c>
      <c r="BB456" s="35">
        <f t="shared" si="249"/>
        <v>52.92</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6" t="s">
        <v>3198</v>
      </c>
      <c r="D457" s="2949" t="s">
        <v>3290</v>
      </c>
      <c r="E457" s="35">
        <f t="shared" si="239"/>
        <v>142.9</v>
      </c>
      <c r="F457" s="36"/>
      <c r="G457" s="37">
        <f t="shared" si="240"/>
        <v>72.42</v>
      </c>
      <c r="H457" s="38">
        <f t="shared" si="241"/>
        <v>72.42</v>
      </c>
      <c r="I457" s="39">
        <v>72.42</v>
      </c>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t="str">
        <f t="shared" si="245"/>
        <v>714</v>
      </c>
      <c r="AY457" s="42">
        <f t="shared" si="246"/>
        <v>142.9</v>
      </c>
      <c r="AZ457" s="35">
        <f t="shared" si="247"/>
        <v>72.42</v>
      </c>
      <c r="BA457" s="35">
        <f t="shared" si="248"/>
        <v>72.42</v>
      </c>
      <c r="BB457" s="35">
        <f t="shared" si="249"/>
        <v>72.42</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6" t="s">
        <v>3206</v>
      </c>
      <c r="D458" s="2949" t="s">
        <v>3290</v>
      </c>
      <c r="E458" s="35">
        <f t="shared" si="239"/>
        <v>135.86000000000001</v>
      </c>
      <c r="F458" s="36"/>
      <c r="G458" s="37">
        <f t="shared" si="240"/>
        <v>68.849999999999994</v>
      </c>
      <c r="H458" s="38">
        <f t="shared" si="241"/>
        <v>68.849999999999994</v>
      </c>
      <c r="I458" s="39">
        <v>68.849999999999994</v>
      </c>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t="str">
        <f t="shared" si="245"/>
        <v>801</v>
      </c>
      <c r="AY458" s="42">
        <f t="shared" si="246"/>
        <v>135.86000000000001</v>
      </c>
      <c r="AZ458" s="35">
        <f t="shared" si="247"/>
        <v>68.849999999999994</v>
      </c>
      <c r="BA458" s="35">
        <f t="shared" si="248"/>
        <v>68.849999999999994</v>
      </c>
      <c r="BB458" s="35">
        <f t="shared" si="249"/>
        <v>68.849999999999994</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6" t="s">
        <v>3207</v>
      </c>
      <c r="D459" s="2949" t="s">
        <v>3290</v>
      </c>
      <c r="E459" s="35">
        <f t="shared" si="239"/>
        <v>104.96</v>
      </c>
      <c r="F459" s="36"/>
      <c r="G459" s="37">
        <f t="shared" si="240"/>
        <v>53.19</v>
      </c>
      <c r="H459" s="38">
        <f t="shared" si="241"/>
        <v>53.19</v>
      </c>
      <c r="I459" s="39">
        <v>53.19</v>
      </c>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t="str">
        <f t="shared" si="245"/>
        <v>802</v>
      </c>
      <c r="AY459" s="42">
        <f t="shared" si="246"/>
        <v>104.96</v>
      </c>
      <c r="AZ459" s="35">
        <f t="shared" si="247"/>
        <v>53.19</v>
      </c>
      <c r="BA459" s="35">
        <f t="shared" si="248"/>
        <v>53.19</v>
      </c>
      <c r="BB459" s="35">
        <f t="shared" si="249"/>
        <v>53.19</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6" t="s">
        <v>3208</v>
      </c>
      <c r="D460" s="2949" t="s">
        <v>3290</v>
      </c>
      <c r="E460" s="35">
        <f t="shared" si="239"/>
        <v>104.74</v>
      </c>
      <c r="F460" s="36"/>
      <c r="G460" s="37">
        <f t="shared" si="240"/>
        <v>53.08</v>
      </c>
      <c r="H460" s="38">
        <f t="shared" si="241"/>
        <v>53.08</v>
      </c>
      <c r="I460" s="39">
        <v>53.08</v>
      </c>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t="str">
        <f t="shared" si="245"/>
        <v>803</v>
      </c>
      <c r="AY460" s="42">
        <f t="shared" si="246"/>
        <v>104.74</v>
      </c>
      <c r="AZ460" s="35">
        <f t="shared" si="247"/>
        <v>53.08</v>
      </c>
      <c r="BA460" s="35">
        <f t="shared" si="248"/>
        <v>53.08</v>
      </c>
      <c r="BB460" s="35">
        <f t="shared" si="249"/>
        <v>53.08</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6" t="s">
        <v>3209</v>
      </c>
      <c r="D461" s="2949" t="s">
        <v>3290</v>
      </c>
      <c r="E461" s="35">
        <f t="shared" si="239"/>
        <v>105.47</v>
      </c>
      <c r="F461" s="36"/>
      <c r="G461" s="37">
        <f t="shared" si="240"/>
        <v>53.45</v>
      </c>
      <c r="H461" s="38">
        <f t="shared" si="241"/>
        <v>53.45</v>
      </c>
      <c r="I461" s="39">
        <v>53.45</v>
      </c>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t="str">
        <f t="shared" si="245"/>
        <v>804</v>
      </c>
      <c r="AY461" s="42">
        <f t="shared" si="246"/>
        <v>105.47</v>
      </c>
      <c r="AZ461" s="35">
        <f t="shared" si="247"/>
        <v>53.45</v>
      </c>
      <c r="BA461" s="35">
        <f t="shared" si="248"/>
        <v>53.45</v>
      </c>
      <c r="BB461" s="35">
        <f t="shared" si="249"/>
        <v>53.45</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6" t="s">
        <v>3210</v>
      </c>
      <c r="D462" s="2949" t="s">
        <v>3290</v>
      </c>
      <c r="E462" s="35">
        <f t="shared" si="239"/>
        <v>130.43</v>
      </c>
      <c r="F462" s="36"/>
      <c r="G462" s="37">
        <f t="shared" si="240"/>
        <v>66.099999999999994</v>
      </c>
      <c r="H462" s="38">
        <f t="shared" si="241"/>
        <v>66.099999999999994</v>
      </c>
      <c r="I462" s="39">
        <v>66.099999999999994</v>
      </c>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t="str">
        <f t="shared" si="245"/>
        <v>805</v>
      </c>
      <c r="AY462" s="42">
        <f t="shared" si="246"/>
        <v>130.43</v>
      </c>
      <c r="AZ462" s="35">
        <f t="shared" si="247"/>
        <v>66.099999999999994</v>
      </c>
      <c r="BA462" s="35">
        <f t="shared" si="248"/>
        <v>66.099999999999994</v>
      </c>
      <c r="BB462" s="35">
        <f t="shared" si="249"/>
        <v>66.099999999999994</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6" t="s">
        <v>3211</v>
      </c>
      <c r="D463" s="2949" t="s">
        <v>3290</v>
      </c>
      <c r="E463" s="35">
        <f t="shared" si="239"/>
        <v>88.58</v>
      </c>
      <c r="F463" s="36"/>
      <c r="G463" s="37">
        <f t="shared" si="240"/>
        <v>44.89</v>
      </c>
      <c r="H463" s="38">
        <f t="shared" si="241"/>
        <v>44.89</v>
      </c>
      <c r="I463" s="39">
        <v>44.89</v>
      </c>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t="str">
        <f t="shared" si="245"/>
        <v>806</v>
      </c>
      <c r="AY463" s="42">
        <f t="shared" si="246"/>
        <v>88.58</v>
      </c>
      <c r="AZ463" s="35">
        <f t="shared" si="247"/>
        <v>44.89</v>
      </c>
      <c r="BA463" s="35">
        <f t="shared" si="248"/>
        <v>44.89</v>
      </c>
      <c r="BB463" s="35">
        <f t="shared" si="249"/>
        <v>44.89</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6" t="s">
        <v>3212</v>
      </c>
      <c r="D464" s="2949" t="s">
        <v>3290</v>
      </c>
      <c r="E464" s="35">
        <f t="shared" si="239"/>
        <v>114.61</v>
      </c>
      <c r="F464" s="36"/>
      <c r="G464" s="37">
        <f t="shared" si="240"/>
        <v>58.08</v>
      </c>
      <c r="H464" s="38">
        <f t="shared" si="241"/>
        <v>58.08</v>
      </c>
      <c r="I464" s="39">
        <v>58.08</v>
      </c>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t="str">
        <f t="shared" si="245"/>
        <v>807</v>
      </c>
      <c r="AY464" s="42">
        <f t="shared" si="246"/>
        <v>114.61</v>
      </c>
      <c r="AZ464" s="35">
        <f t="shared" si="247"/>
        <v>58.08</v>
      </c>
      <c r="BA464" s="35">
        <f t="shared" si="248"/>
        <v>58.08</v>
      </c>
      <c r="BB464" s="35">
        <f t="shared" si="249"/>
        <v>58.08</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6" t="s">
        <v>3213</v>
      </c>
      <c r="D465" s="2949" t="s">
        <v>3290</v>
      </c>
      <c r="E465" s="35">
        <f t="shared" si="239"/>
        <v>114.61</v>
      </c>
      <c r="F465" s="36"/>
      <c r="G465" s="37">
        <f t="shared" si="240"/>
        <v>58.08</v>
      </c>
      <c r="H465" s="38">
        <f t="shared" si="241"/>
        <v>58.08</v>
      </c>
      <c r="I465" s="39">
        <v>58.08</v>
      </c>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t="str">
        <f t="shared" si="245"/>
        <v>808</v>
      </c>
      <c r="AY465" s="42">
        <f t="shared" si="246"/>
        <v>114.61</v>
      </c>
      <c r="AZ465" s="35">
        <f t="shared" si="247"/>
        <v>58.08</v>
      </c>
      <c r="BA465" s="35">
        <f t="shared" si="248"/>
        <v>58.08</v>
      </c>
      <c r="BB465" s="35">
        <f t="shared" si="249"/>
        <v>58.08</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6" t="s">
        <v>3214</v>
      </c>
      <c r="D466" s="2949" t="s">
        <v>3290</v>
      </c>
      <c r="E466" s="35">
        <f t="shared" si="239"/>
        <v>88.58</v>
      </c>
      <c r="F466" s="36"/>
      <c r="G466" s="37">
        <f t="shared" si="240"/>
        <v>44.89</v>
      </c>
      <c r="H466" s="38">
        <f t="shared" si="241"/>
        <v>44.89</v>
      </c>
      <c r="I466" s="39">
        <v>44.89</v>
      </c>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t="str">
        <f t="shared" si="245"/>
        <v>809</v>
      </c>
      <c r="AY466" s="42">
        <f t="shared" si="246"/>
        <v>88.58</v>
      </c>
      <c r="AZ466" s="35">
        <f t="shared" si="247"/>
        <v>44.89</v>
      </c>
      <c r="BA466" s="35">
        <f t="shared" si="248"/>
        <v>44.89</v>
      </c>
      <c r="BB466" s="35">
        <f t="shared" si="249"/>
        <v>44.89</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6" t="s">
        <v>3215</v>
      </c>
      <c r="D467" s="2949" t="s">
        <v>3290</v>
      </c>
      <c r="E467" s="35">
        <f t="shared" si="239"/>
        <v>130.43</v>
      </c>
      <c r="F467" s="36"/>
      <c r="G467" s="37">
        <f t="shared" si="240"/>
        <v>66.099999999999994</v>
      </c>
      <c r="H467" s="38">
        <f t="shared" si="241"/>
        <v>66.099999999999994</v>
      </c>
      <c r="I467" s="39">
        <v>66.099999999999994</v>
      </c>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t="str">
        <f t="shared" si="245"/>
        <v>810</v>
      </c>
      <c r="AY467" s="42">
        <f t="shared" si="246"/>
        <v>130.43</v>
      </c>
      <c r="AZ467" s="35">
        <f t="shared" si="247"/>
        <v>66.099999999999994</v>
      </c>
      <c r="BA467" s="35">
        <f t="shared" si="248"/>
        <v>66.099999999999994</v>
      </c>
      <c r="BB467" s="35">
        <f t="shared" si="249"/>
        <v>66.099999999999994</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6" t="s">
        <v>3216</v>
      </c>
      <c r="D468" s="2949" t="s">
        <v>3290</v>
      </c>
      <c r="E468" s="35">
        <f t="shared" si="239"/>
        <v>105.47</v>
      </c>
      <c r="F468" s="36"/>
      <c r="G468" s="37">
        <f t="shared" si="240"/>
        <v>53.45</v>
      </c>
      <c r="H468" s="38">
        <f t="shared" si="241"/>
        <v>53.45</v>
      </c>
      <c r="I468" s="39">
        <v>53.45</v>
      </c>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t="str">
        <f t="shared" si="245"/>
        <v>811</v>
      </c>
      <c r="AY468" s="42">
        <f t="shared" si="246"/>
        <v>105.47</v>
      </c>
      <c r="AZ468" s="35">
        <f t="shared" si="247"/>
        <v>53.45</v>
      </c>
      <c r="BA468" s="35">
        <f t="shared" si="248"/>
        <v>53.45</v>
      </c>
      <c r="BB468" s="35">
        <f t="shared" si="249"/>
        <v>53.45</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6" t="s">
        <v>3217</v>
      </c>
      <c r="D469" s="2949" t="s">
        <v>3290</v>
      </c>
      <c r="E469" s="35">
        <f t="shared" si="239"/>
        <v>104.74</v>
      </c>
      <c r="F469" s="36"/>
      <c r="G469" s="37">
        <f t="shared" si="240"/>
        <v>53.08</v>
      </c>
      <c r="H469" s="38">
        <f t="shared" si="241"/>
        <v>53.08</v>
      </c>
      <c r="I469" s="39">
        <v>53.08</v>
      </c>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t="str">
        <f t="shared" si="245"/>
        <v>812</v>
      </c>
      <c r="AY469" s="42">
        <f t="shared" si="246"/>
        <v>104.74</v>
      </c>
      <c r="AZ469" s="35">
        <f t="shared" si="247"/>
        <v>53.08</v>
      </c>
      <c r="BA469" s="35">
        <f t="shared" si="248"/>
        <v>53.08</v>
      </c>
      <c r="BB469" s="35">
        <f t="shared" si="249"/>
        <v>53.08</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6" t="s">
        <v>3218</v>
      </c>
      <c r="D470" s="2949" t="s">
        <v>3290</v>
      </c>
      <c r="E470" s="35">
        <f t="shared" si="239"/>
        <v>104.96</v>
      </c>
      <c r="F470" s="36"/>
      <c r="G470" s="37">
        <f t="shared" si="240"/>
        <v>53.19</v>
      </c>
      <c r="H470" s="38">
        <f t="shared" si="241"/>
        <v>53.19</v>
      </c>
      <c r="I470" s="39">
        <v>53.19</v>
      </c>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t="str">
        <f t="shared" si="245"/>
        <v>813</v>
      </c>
      <c r="AY470" s="42">
        <f t="shared" si="246"/>
        <v>104.96</v>
      </c>
      <c r="AZ470" s="35">
        <f t="shared" si="247"/>
        <v>53.19</v>
      </c>
      <c r="BA470" s="35">
        <f t="shared" si="248"/>
        <v>53.19</v>
      </c>
      <c r="BB470" s="35">
        <f t="shared" si="249"/>
        <v>53.19</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6" t="s">
        <v>3219</v>
      </c>
      <c r="D471" s="2949" t="s">
        <v>3290</v>
      </c>
      <c r="E471" s="35">
        <f t="shared" si="239"/>
        <v>143.65</v>
      </c>
      <c r="F471" s="36"/>
      <c r="G471" s="37">
        <f t="shared" si="240"/>
        <v>72.8</v>
      </c>
      <c r="H471" s="38">
        <f t="shared" si="241"/>
        <v>72.8</v>
      </c>
      <c r="I471" s="39">
        <v>72.8</v>
      </c>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t="str">
        <f t="shared" si="245"/>
        <v>814</v>
      </c>
      <c r="AY471" s="42">
        <f t="shared" si="246"/>
        <v>143.65</v>
      </c>
      <c r="AZ471" s="35">
        <f t="shared" si="247"/>
        <v>72.8</v>
      </c>
      <c r="BA471" s="35">
        <f t="shared" si="248"/>
        <v>72.8</v>
      </c>
      <c r="BB471" s="35">
        <f t="shared" si="249"/>
        <v>72.8</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6" t="s">
        <v>3227</v>
      </c>
      <c r="D472" s="2949" t="s">
        <v>3290</v>
      </c>
      <c r="E472" s="35">
        <f t="shared" si="239"/>
        <v>138.19999999999999</v>
      </c>
      <c r="F472" s="36"/>
      <c r="G472" s="37">
        <f t="shared" si="240"/>
        <v>70.040000000000006</v>
      </c>
      <c r="H472" s="38">
        <f t="shared" si="241"/>
        <v>70.040000000000006</v>
      </c>
      <c r="I472" s="39">
        <v>70.040000000000006</v>
      </c>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t="str">
        <f t="shared" si="245"/>
        <v>901</v>
      </c>
      <c r="AY472" s="42">
        <f t="shared" si="246"/>
        <v>138.19999999999999</v>
      </c>
      <c r="AZ472" s="35">
        <f t="shared" si="247"/>
        <v>70.040000000000006</v>
      </c>
      <c r="BA472" s="35">
        <f t="shared" si="248"/>
        <v>70.040000000000006</v>
      </c>
      <c r="BB472" s="35">
        <f t="shared" si="249"/>
        <v>70.040000000000006</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6" t="s">
        <v>3228</v>
      </c>
      <c r="D473" s="2949" t="s">
        <v>3290</v>
      </c>
      <c r="E473" s="35">
        <f t="shared" si="239"/>
        <v>106.77</v>
      </c>
      <c r="F473" s="36"/>
      <c r="G473" s="37">
        <f t="shared" si="240"/>
        <v>54.11</v>
      </c>
      <c r="H473" s="38">
        <f t="shared" si="241"/>
        <v>54.11</v>
      </c>
      <c r="I473" s="39">
        <v>54.11</v>
      </c>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t="str">
        <f t="shared" si="245"/>
        <v>902</v>
      </c>
      <c r="AY473" s="42">
        <f t="shared" si="246"/>
        <v>106.77</v>
      </c>
      <c r="AZ473" s="35">
        <f t="shared" si="247"/>
        <v>54.11</v>
      </c>
      <c r="BA473" s="35">
        <f t="shared" si="248"/>
        <v>54.11</v>
      </c>
      <c r="BB473" s="35">
        <f t="shared" si="249"/>
        <v>54.11</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6" t="s">
        <v>3229</v>
      </c>
      <c r="D474" s="2949" t="s">
        <v>3290</v>
      </c>
      <c r="E474" s="35">
        <f t="shared" si="239"/>
        <v>106.55</v>
      </c>
      <c r="F474" s="36"/>
      <c r="G474" s="37">
        <f t="shared" si="240"/>
        <v>54</v>
      </c>
      <c r="H474" s="38">
        <f t="shared" si="241"/>
        <v>54</v>
      </c>
      <c r="I474" s="39">
        <v>54</v>
      </c>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t="str">
        <f t="shared" si="245"/>
        <v>903</v>
      </c>
      <c r="AY474" s="42">
        <f t="shared" si="246"/>
        <v>106.55</v>
      </c>
      <c r="AZ474" s="35">
        <f t="shared" si="247"/>
        <v>54</v>
      </c>
      <c r="BA474" s="35">
        <f t="shared" si="248"/>
        <v>54</v>
      </c>
      <c r="BB474" s="35">
        <f t="shared" si="249"/>
        <v>54</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6" t="s">
        <v>3230</v>
      </c>
      <c r="D475" s="2949" t="s">
        <v>3290</v>
      </c>
      <c r="E475" s="35">
        <f t="shared" si="239"/>
        <v>107.54</v>
      </c>
      <c r="F475" s="36"/>
      <c r="G475" s="37">
        <f t="shared" si="240"/>
        <v>54.5</v>
      </c>
      <c r="H475" s="38">
        <f t="shared" si="241"/>
        <v>54.5</v>
      </c>
      <c r="I475" s="39">
        <v>54.5</v>
      </c>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t="str">
        <f t="shared" si="245"/>
        <v>904</v>
      </c>
      <c r="AY475" s="42">
        <f t="shared" si="246"/>
        <v>107.54</v>
      </c>
      <c r="AZ475" s="35">
        <f t="shared" si="247"/>
        <v>54.5</v>
      </c>
      <c r="BA475" s="35">
        <f t="shared" si="248"/>
        <v>54.5</v>
      </c>
      <c r="BB475" s="35">
        <f t="shared" si="249"/>
        <v>54.5</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6" t="s">
        <v>3231</v>
      </c>
      <c r="D476" s="2949" t="s">
        <v>3290</v>
      </c>
      <c r="E476" s="35">
        <f t="shared" si="239"/>
        <v>121.43</v>
      </c>
      <c r="F476" s="36"/>
      <c r="G476" s="37">
        <f t="shared" si="240"/>
        <v>61.54</v>
      </c>
      <c r="H476" s="38">
        <f t="shared" si="241"/>
        <v>61.54</v>
      </c>
      <c r="I476" s="39">
        <v>61.54</v>
      </c>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t="str">
        <f t="shared" si="245"/>
        <v>905</v>
      </c>
      <c r="AY476" s="42">
        <f t="shared" si="246"/>
        <v>121.43</v>
      </c>
      <c r="AZ476" s="35">
        <f t="shared" si="247"/>
        <v>61.54</v>
      </c>
      <c r="BA476" s="35">
        <f t="shared" si="248"/>
        <v>61.54</v>
      </c>
      <c r="BB476" s="35">
        <f t="shared" si="249"/>
        <v>61.54</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6" t="s">
        <v>3232</v>
      </c>
      <c r="D477" s="2949" t="s">
        <v>3290</v>
      </c>
      <c r="E477" s="35">
        <f t="shared" si="239"/>
        <v>61.76</v>
      </c>
      <c r="F477" s="36"/>
      <c r="G477" s="37">
        <f t="shared" si="240"/>
        <v>31.3</v>
      </c>
      <c r="H477" s="38">
        <f t="shared" si="241"/>
        <v>31.3</v>
      </c>
      <c r="I477" s="39">
        <v>31.3</v>
      </c>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t="str">
        <f t="shared" si="245"/>
        <v>906</v>
      </c>
      <c r="AY477" s="42">
        <f t="shared" si="246"/>
        <v>61.76</v>
      </c>
      <c r="AZ477" s="35">
        <f t="shared" si="247"/>
        <v>31.3</v>
      </c>
      <c r="BA477" s="35">
        <f t="shared" si="248"/>
        <v>31.3</v>
      </c>
      <c r="BB477" s="35">
        <f t="shared" si="249"/>
        <v>31.3</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6" t="s">
        <v>3233</v>
      </c>
      <c r="D478" s="2949" t="s">
        <v>3290</v>
      </c>
      <c r="E478" s="35">
        <f t="shared" si="239"/>
        <v>110.46</v>
      </c>
      <c r="F478" s="36"/>
      <c r="G478" s="37">
        <f t="shared" si="240"/>
        <v>55.98</v>
      </c>
      <c r="H478" s="38">
        <f t="shared" si="241"/>
        <v>55.98</v>
      </c>
      <c r="I478" s="39">
        <v>55.98</v>
      </c>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t="str">
        <f t="shared" si="245"/>
        <v>907</v>
      </c>
      <c r="AY478" s="42">
        <f t="shared" si="246"/>
        <v>110.46</v>
      </c>
      <c r="AZ478" s="35">
        <f t="shared" si="247"/>
        <v>55.98</v>
      </c>
      <c r="BA478" s="35">
        <f t="shared" si="248"/>
        <v>55.98</v>
      </c>
      <c r="BB478" s="35">
        <f t="shared" si="249"/>
        <v>55.98</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6" t="s">
        <v>3234</v>
      </c>
      <c r="D479" s="2949" t="s">
        <v>3290</v>
      </c>
      <c r="E479" s="35">
        <f t="shared" si="239"/>
        <v>74.55</v>
      </c>
      <c r="F479" s="36"/>
      <c r="G479" s="37">
        <f t="shared" si="240"/>
        <v>37.78</v>
      </c>
      <c r="H479" s="38">
        <f t="shared" si="241"/>
        <v>37.78</v>
      </c>
      <c r="I479" s="39">
        <v>37.78</v>
      </c>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t="str">
        <f t="shared" si="245"/>
        <v>908</v>
      </c>
      <c r="AY479" s="42">
        <f t="shared" si="246"/>
        <v>74.55</v>
      </c>
      <c r="AZ479" s="35">
        <f t="shared" si="247"/>
        <v>37.78</v>
      </c>
      <c r="BA479" s="35">
        <f t="shared" si="248"/>
        <v>37.78</v>
      </c>
      <c r="BB479" s="35">
        <f t="shared" si="249"/>
        <v>37.78</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6" t="s">
        <v>3235</v>
      </c>
      <c r="D480" s="2949" t="s">
        <v>3290</v>
      </c>
      <c r="E480" s="35">
        <f t="shared" si="239"/>
        <v>121.43</v>
      </c>
      <c r="F480" s="36"/>
      <c r="G480" s="37">
        <f t="shared" si="240"/>
        <v>61.54</v>
      </c>
      <c r="H480" s="38">
        <f t="shared" si="241"/>
        <v>61.54</v>
      </c>
      <c r="I480" s="39">
        <v>61.54</v>
      </c>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t="str">
        <f t="shared" si="245"/>
        <v>909</v>
      </c>
      <c r="AY480" s="42">
        <f t="shared" si="246"/>
        <v>121.43</v>
      </c>
      <c r="AZ480" s="35">
        <f t="shared" si="247"/>
        <v>61.54</v>
      </c>
      <c r="BA480" s="35">
        <f t="shared" si="248"/>
        <v>61.54</v>
      </c>
      <c r="BB480" s="35">
        <f t="shared" si="249"/>
        <v>61.54</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6" t="s">
        <v>3236</v>
      </c>
      <c r="D481" s="2949" t="s">
        <v>3290</v>
      </c>
      <c r="E481" s="35">
        <f t="shared" si="239"/>
        <v>107.54</v>
      </c>
      <c r="F481" s="36"/>
      <c r="G481" s="37">
        <f t="shared" si="240"/>
        <v>54.5</v>
      </c>
      <c r="H481" s="38">
        <f t="shared" si="241"/>
        <v>54.5</v>
      </c>
      <c r="I481" s="39">
        <v>54.5</v>
      </c>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t="str">
        <f t="shared" si="245"/>
        <v>910</v>
      </c>
      <c r="AY481" s="42">
        <f t="shared" si="246"/>
        <v>107.54</v>
      </c>
      <c r="AZ481" s="35">
        <f t="shared" si="247"/>
        <v>54.5</v>
      </c>
      <c r="BA481" s="35">
        <f t="shared" si="248"/>
        <v>54.5</v>
      </c>
      <c r="BB481" s="35">
        <f t="shared" si="249"/>
        <v>54.5</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6" t="s">
        <v>3237</v>
      </c>
      <c r="D482" s="2949" t="s">
        <v>3290</v>
      </c>
      <c r="E482" s="35">
        <f t="shared" si="239"/>
        <v>106.55</v>
      </c>
      <c r="F482" s="36"/>
      <c r="G482" s="37">
        <f t="shared" si="240"/>
        <v>54</v>
      </c>
      <c r="H482" s="38">
        <f t="shared" si="241"/>
        <v>54</v>
      </c>
      <c r="I482" s="39">
        <v>54</v>
      </c>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t="str">
        <f t="shared" si="245"/>
        <v>911</v>
      </c>
      <c r="AY482" s="42">
        <f t="shared" si="246"/>
        <v>106.55</v>
      </c>
      <c r="AZ482" s="35">
        <f t="shared" si="247"/>
        <v>54</v>
      </c>
      <c r="BA482" s="35">
        <f t="shared" si="248"/>
        <v>54</v>
      </c>
      <c r="BB482" s="35">
        <f t="shared" si="249"/>
        <v>54</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6" t="s">
        <v>3238</v>
      </c>
      <c r="D483" s="2949" t="s">
        <v>3290</v>
      </c>
      <c r="E483" s="35">
        <f t="shared" si="239"/>
        <v>106.77</v>
      </c>
      <c r="F483" s="36"/>
      <c r="G483" s="37">
        <f t="shared" si="240"/>
        <v>54.11</v>
      </c>
      <c r="H483" s="38">
        <f t="shared" si="241"/>
        <v>54.11</v>
      </c>
      <c r="I483" s="39">
        <v>54.11</v>
      </c>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t="str">
        <f t="shared" si="245"/>
        <v>912</v>
      </c>
      <c r="AY483" s="42">
        <f t="shared" si="246"/>
        <v>106.77</v>
      </c>
      <c r="AZ483" s="35">
        <f t="shared" si="247"/>
        <v>54.11</v>
      </c>
      <c r="BA483" s="35">
        <f t="shared" si="248"/>
        <v>54.11</v>
      </c>
      <c r="BB483" s="35">
        <f t="shared" si="249"/>
        <v>54.11</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6" t="s">
        <v>3239</v>
      </c>
      <c r="D484" s="2949" t="s">
        <v>3290</v>
      </c>
      <c r="E484" s="35">
        <f t="shared" si="239"/>
        <v>137.44</v>
      </c>
      <c r="F484" s="36"/>
      <c r="G484" s="37">
        <f t="shared" si="240"/>
        <v>69.650000000000006</v>
      </c>
      <c r="H484" s="38">
        <f t="shared" si="241"/>
        <v>69.650000000000006</v>
      </c>
      <c r="I484" s="39">
        <v>69.650000000000006</v>
      </c>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t="str">
        <f t="shared" si="245"/>
        <v>913</v>
      </c>
      <c r="AY484" s="42">
        <f t="shared" si="246"/>
        <v>137.44</v>
      </c>
      <c r="AZ484" s="35">
        <f t="shared" si="247"/>
        <v>69.650000000000006</v>
      </c>
      <c r="BA484" s="35">
        <f t="shared" si="248"/>
        <v>69.650000000000006</v>
      </c>
      <c r="BB484" s="35">
        <f t="shared" si="249"/>
        <v>69.650000000000006</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6"/>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6"/>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6"/>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6"/>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6"/>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2950"/>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2950"/>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2950"/>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6"/>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6"/>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6"/>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6"/>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6"/>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6"/>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6"/>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6"/>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6"/>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6"/>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6"/>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6"/>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6"/>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6"/>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6"/>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6"/>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6"/>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6"/>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6"/>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6"/>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6"/>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6"/>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6"/>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6"/>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6"/>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6"/>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6"/>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6"/>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6"/>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6"/>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6"/>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6"/>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6"/>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6"/>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6"/>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6"/>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6"/>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6"/>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6"/>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6"/>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6"/>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6"/>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6"/>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6"/>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6"/>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6"/>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6"/>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6"/>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6"/>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6"/>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6"/>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6"/>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6"/>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6"/>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6"/>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6"/>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6"/>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6"/>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6"/>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6"/>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6"/>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6"/>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6"/>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6"/>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6"/>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6"/>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6"/>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6"/>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6"/>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6"/>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6"/>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6"/>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6"/>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6"/>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6"/>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6"/>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6"/>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6"/>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6"/>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6"/>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6"/>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6"/>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6"/>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6"/>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6"/>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6"/>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6"/>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6"/>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6"/>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6"/>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6"/>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6"/>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2950"/>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2950"/>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2950"/>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957"/>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958"/>
      <c r="D589" s="2226"/>
    </row>
    <row r="590" spans="1:72" s="2225" customFormat="1">
      <c r="C590" s="2958"/>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88" t="s">
        <v>1935</v>
      </c>
      <c r="B2" s="3088"/>
      <c r="C2" s="3088"/>
      <c r="D2" s="970" t="s">
        <v>1911</v>
      </c>
      <c r="E2" s="2229" t="s">
        <v>1912</v>
      </c>
      <c r="F2" s="1395"/>
      <c r="G2" s="2230"/>
      <c r="H2" s="2231"/>
      <c r="I2" s="2232" t="s">
        <v>1936</v>
      </c>
      <c r="J2" s="1395"/>
      <c r="K2" s="1395"/>
      <c r="L2" s="1395"/>
      <c r="M2" s="1395"/>
      <c r="N2" s="1430"/>
      <c r="O2" s="1395"/>
      <c r="P2" s="1395"/>
    </row>
    <row r="3" spans="1:16" ht="15.75" thickBot="1">
      <c r="A3" s="3089" t="s">
        <v>1909</v>
      </c>
      <c r="B3" s="3089"/>
      <c r="C3" s="3089"/>
      <c r="D3" s="46">
        <f>'数据-基础表'!AY6</f>
        <v>40347.69</v>
      </c>
      <c r="E3" s="46">
        <f>'数据-基础表'!AZ5</f>
        <v>20447.539999999961</v>
      </c>
      <c r="F3" s="1395"/>
      <c r="G3" s="1402"/>
      <c r="H3" s="1250" t="s">
        <v>1910</v>
      </c>
      <c r="I3" s="55">
        <f>ROUND('数据-基础表'!B3/'数据-基础表'!A3,2)</f>
        <v>0.51</v>
      </c>
      <c r="J3" s="1395"/>
      <c r="K3" s="1395"/>
      <c r="L3" s="1395"/>
      <c r="M3" s="1395"/>
      <c r="N3" s="1430"/>
      <c r="O3" s="1395"/>
      <c r="P3" s="1395"/>
    </row>
    <row r="4" spans="1:16" ht="15">
      <c r="A4" s="3090"/>
      <c r="B4" s="3091"/>
      <c r="C4" s="3092"/>
      <c r="D4" s="2233" t="s">
        <v>1911</v>
      </c>
      <c r="E4" s="2234" t="s">
        <v>1912</v>
      </c>
      <c r="F4" s="1395"/>
      <c r="G4" s="2235" t="s">
        <v>1937</v>
      </c>
      <c r="H4" s="1250" t="s">
        <v>1917</v>
      </c>
      <c r="I4" s="55">
        <f>ROUND(SUMIF('数据-基础表'!I9:AS9,"地上",'数据-基础表'!I5:AS5)/'数据-基础表'!A3,2)</f>
        <v>0.51</v>
      </c>
      <c r="J4" s="1395"/>
      <c r="K4" s="1395"/>
      <c r="L4" s="1395"/>
      <c r="M4" s="1395"/>
      <c r="N4" s="1430"/>
      <c r="O4" s="1395"/>
      <c r="P4" s="1395"/>
    </row>
    <row r="5" spans="1:16">
      <c r="A5" s="47" t="s">
        <v>1913</v>
      </c>
      <c r="B5" s="3093" t="s">
        <v>1914</v>
      </c>
      <c r="C5" s="3093"/>
      <c r="D5" s="48">
        <f>ROUND($D$3*E5/$E$3,2)</f>
        <v>0</v>
      </c>
      <c r="E5" s="49">
        <f>SUMIF('数据-基础表'!$11:$11,"住宅",'数据-基础表'!$5:$5)</f>
        <v>0</v>
      </c>
      <c r="F5" s="1395"/>
      <c r="G5" s="1402"/>
      <c r="H5" s="1250" t="s">
        <v>1910</v>
      </c>
      <c r="I5" s="55">
        <f>ROUND(E31/D31,2)</f>
        <v>0.51</v>
      </c>
      <c r="J5" s="1395"/>
      <c r="K5" s="1395"/>
      <c r="L5" s="1395"/>
      <c r="M5" s="1395"/>
      <c r="N5" s="1395"/>
      <c r="O5" s="1395"/>
      <c r="P5" s="1395"/>
    </row>
    <row r="6" spans="1:16" ht="15" thickBot="1">
      <c r="A6" s="2236"/>
      <c r="B6" s="3093" t="s">
        <v>1915</v>
      </c>
      <c r="C6" s="3093"/>
      <c r="D6" s="48">
        <f>ROUND($D$3*E6/$E$3,2)</f>
        <v>40347.69</v>
      </c>
      <c r="E6" s="49">
        <f>E3-E5</f>
        <v>20447.539999999961</v>
      </c>
      <c r="F6" s="1395"/>
      <c r="G6" s="2237" t="s">
        <v>1916</v>
      </c>
      <c r="H6" s="1402" t="s">
        <v>1917</v>
      </c>
      <c r="I6" s="942">
        <f>ROUND(F31/D31,2)</f>
        <v>0.51</v>
      </c>
      <c r="J6" s="1395"/>
      <c r="K6" s="1395"/>
      <c r="L6" s="1395"/>
      <c r="M6" s="1395"/>
      <c r="N6" s="1395"/>
      <c r="O6" s="1395"/>
      <c r="P6" s="1395"/>
    </row>
    <row r="7" spans="1:16" ht="15">
      <c r="A7" s="3085"/>
      <c r="B7" s="3086"/>
      <c r="C7" s="3087"/>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40347.69</v>
      </c>
      <c r="E8" s="51">
        <f>SUMIF('数据-基础表'!BB10:BK10,"地上",'数据-基础表'!BB5:BK5)</f>
        <v>20447.539999999961</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40347.69</v>
      </c>
      <c r="E16" s="53">
        <f>SUM(E8:E15)</f>
        <v>20447.539999999961</v>
      </c>
      <c r="F16" s="1395"/>
      <c r="G16" s="2239"/>
      <c r="H16" s="2242" t="s">
        <v>1939</v>
      </c>
      <c r="I16" s="2243"/>
      <c r="J16" s="1395"/>
      <c r="K16" s="3082" t="s">
        <v>1939</v>
      </c>
      <c r="L16" s="3083"/>
      <c r="M16" s="3083"/>
      <c r="N16" s="3083"/>
      <c r="O16" s="3083"/>
      <c r="P16" s="3084"/>
    </row>
    <row r="17" spans="1:19" ht="15">
      <c r="A17" s="2244" t="s">
        <v>1940</v>
      </c>
      <c r="B17" s="2245" t="s">
        <v>1941</v>
      </c>
      <c r="C17" s="2246" t="s">
        <v>1942</v>
      </c>
      <c r="D17" s="2247" t="s">
        <v>1930</v>
      </c>
      <c r="E17" s="2248" t="s">
        <v>1931</v>
      </c>
      <c r="F17" s="2249"/>
      <c r="G17" s="2250"/>
      <c r="H17" s="2251" t="s">
        <v>1943</v>
      </c>
      <c r="I17" s="2252" t="s">
        <v>1928</v>
      </c>
      <c r="J17" s="1395"/>
      <c r="K17" s="3079" t="s">
        <v>1944</v>
      </c>
      <c r="L17" s="3080"/>
      <c r="M17" s="3081"/>
      <c r="N17" s="3079" t="s">
        <v>1945</v>
      </c>
      <c r="O17" s="3080"/>
      <c r="P17" s="3081"/>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60">
        <v>3</v>
      </c>
      <c r="D19" s="48">
        <f>ROUND($D$3*E19/$E$3,2)</f>
        <v>25862.45</v>
      </c>
      <c r="E19" s="56">
        <f t="shared" ref="E19:E26" si="1">SUM(F19:G19)</f>
        <v>13106.659999999993</v>
      </c>
      <c r="F19" s="57">
        <f>SUM('数据-基础表'!I13:I16,'数据-基础表'!I18:I238)</f>
        <v>13106.659999999993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25862.45</v>
      </c>
      <c r="S19" s="1251">
        <f t="shared" si="5"/>
        <v>13106.659999999993</v>
      </c>
    </row>
    <row r="20" spans="1:19">
      <c r="A20" s="2265"/>
      <c r="B20" s="50" t="s">
        <v>1957</v>
      </c>
      <c r="C20" s="2262">
        <v>7</v>
      </c>
      <c r="D20" s="48">
        <f t="shared" ref="D20:D26" si="6">ROUND($D$3*E20/$E$3,2)</f>
        <v>14485.24</v>
      </c>
      <c r="E20" s="56">
        <f t="shared" si="1"/>
        <v>7340.8800000000037</v>
      </c>
      <c r="F20" s="57">
        <f>SUM('数据-基础表'!I362:I448,'数据-基础表'!I453:I484)</f>
        <v>7340.8800000000037</v>
      </c>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14485.24</v>
      </c>
      <c r="S20" s="1251">
        <f t="shared" si="5"/>
        <v>7340.8800000000037</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40347.69</v>
      </c>
      <c r="E27" s="1397">
        <f>IF(SUM(E19:E26)='数据-基础表'!BA5,SUM(E19:E26),IF(F27="地上面积有误","面积有误","地下面积有误"))</f>
        <v>20447.539999999997</v>
      </c>
      <c r="F27" s="1396">
        <f>IF(SUM(F19:F26)=E8,SUM(F19:F26),"地上面积有误")</f>
        <v>20447.539999999997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40347.69</v>
      </c>
      <c r="S27" s="1250">
        <f>IF(SUM(S19:S26)=$E$3,SUM(S19:S26),SUM(S19:S26)&amp;"误差"&amp;ROUND(SUM(S19:S26)-E3,2))</f>
        <v>20447.539999999997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40347.69</v>
      </c>
      <c r="E31" s="729">
        <f>E27+E30</f>
        <v>20447.539999999997</v>
      </c>
      <c r="F31" s="730">
        <f>F27+F30</f>
        <v>20447.539999999997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F6" sqref="F6"/>
    </sheetView>
  </sheetViews>
  <sheetFormatPr defaultRowHeight="13.5"/>
  <cols>
    <col min="1" max="1" width="9" style="2978"/>
    <col min="2" max="2" width="11" style="2978" customWidth="1"/>
    <col min="3" max="4" width="9.5" style="2978" bestFit="1" customWidth="1"/>
    <col min="5" max="6" width="9" style="2978"/>
    <col min="7" max="7" width="10.5" style="2978" bestFit="1" customWidth="1"/>
    <col min="8" max="9" width="9" style="2978"/>
    <col min="10" max="10" width="9.5" style="2978" customWidth="1"/>
    <col min="11" max="12" width="9" style="2978"/>
    <col min="13" max="13" width="9.5" style="2978" bestFit="1" customWidth="1"/>
    <col min="14" max="16384" width="9" style="2978"/>
  </cols>
  <sheetData>
    <row r="1" spans="1:24">
      <c r="A1" s="2977"/>
      <c r="B1" s="2977"/>
      <c r="C1" s="2977"/>
      <c r="D1" s="2977"/>
      <c r="E1" s="2977"/>
    </row>
    <row r="2" spans="1:24" ht="40.5">
      <c r="A2" s="2979" t="s">
        <v>3373</v>
      </c>
      <c r="B2" s="2979" t="s">
        <v>3374</v>
      </c>
      <c r="C2" s="3350" t="s">
        <v>3375</v>
      </c>
      <c r="D2" s="2979" t="s">
        <v>37</v>
      </c>
      <c r="E2" s="2981" t="s">
        <v>3376</v>
      </c>
      <c r="F2" s="2982" t="s">
        <v>3377</v>
      </c>
    </row>
    <row r="3" spans="1:24">
      <c r="A3" s="2979" t="s">
        <v>3378</v>
      </c>
      <c r="B3" s="2979">
        <v>13106.66</v>
      </c>
      <c r="C3" s="2979">
        <f>'[1]3号楼'!L229</f>
        <v>1468.71</v>
      </c>
      <c r="D3" s="3096">
        <f>B3+B4+B5+B6+B7+B8</f>
        <v>27844.7</v>
      </c>
      <c r="E3" s="2979">
        <v>225</v>
      </c>
      <c r="F3" s="2978">
        <f>ROUND(B3/$J$8*$G$27,2)</f>
        <v>25862.45</v>
      </c>
    </row>
    <row r="4" spans="1:24">
      <c r="A4" s="2979" t="s">
        <v>3379</v>
      </c>
      <c r="B4" s="2979"/>
      <c r="C4" s="2979"/>
      <c r="D4" s="3097"/>
      <c r="E4" s="2979">
        <v>151</v>
      </c>
    </row>
    <row r="5" spans="1:24">
      <c r="A5" s="2979" t="s">
        <v>3380</v>
      </c>
      <c r="B5" s="2979"/>
      <c r="C5" s="2979"/>
      <c r="D5" s="3097"/>
      <c r="E5" s="2979">
        <v>137</v>
      </c>
      <c r="J5" s="2983" t="s">
        <v>3381</v>
      </c>
      <c r="L5" s="2983" t="s">
        <v>3382</v>
      </c>
    </row>
    <row r="6" spans="1:24">
      <c r="A6" s="2979" t="s">
        <v>3383</v>
      </c>
      <c r="B6" s="2979">
        <v>7397.16</v>
      </c>
      <c r="C6" s="2979">
        <f>'[1]6号楼'!L127</f>
        <v>967.69</v>
      </c>
      <c r="D6" s="3097"/>
      <c r="E6" s="2979">
        <v>123</v>
      </c>
      <c r="F6" s="2978">
        <f>ROUND(B6/$J$8*$G$27,2)</f>
        <v>14596.3</v>
      </c>
      <c r="H6" s="2983" t="s">
        <v>3384</v>
      </c>
      <c r="I6" s="2983" t="s">
        <v>3385</v>
      </c>
      <c r="J6" s="2978">
        <f>86619.97-1002.57+2037.22+608.56+2719.64</f>
        <v>90982.819999999992</v>
      </c>
      <c r="L6" s="2978">
        <v>86619.97</v>
      </c>
    </row>
    <row r="7" spans="1:24">
      <c r="A7" s="2984" t="s">
        <v>3386</v>
      </c>
      <c r="B7" s="2979">
        <v>7340.88</v>
      </c>
      <c r="C7" s="2985">
        <f>'[1]7号楼'!L127-'[1]7号楼'!J91-'[1]7号楼'!J92-'[1]7号楼'!J93-'[1]7号楼'!J94</f>
        <v>929.59999999999991</v>
      </c>
      <c r="D7" s="3097"/>
      <c r="E7" s="2984">
        <f>123-4</f>
        <v>119</v>
      </c>
      <c r="F7" s="2978">
        <f>ROUND(B7/$J$8*$G$27,2)</f>
        <v>14485.24</v>
      </c>
      <c r="H7" s="2983" t="s">
        <v>3387</v>
      </c>
      <c r="I7" s="2983" t="s">
        <v>3388</v>
      </c>
      <c r="J7" s="2978">
        <v>25392.68</v>
      </c>
      <c r="L7" s="2978">
        <v>25692.68</v>
      </c>
    </row>
    <row r="8" spans="1:24">
      <c r="A8" s="2980" t="s">
        <v>3389</v>
      </c>
      <c r="B8" s="2979"/>
      <c r="C8" s="2979">
        <f>[1]地下车位!I207</f>
        <v>2719.64</v>
      </c>
      <c r="D8" s="3098"/>
      <c r="E8" s="2979">
        <v>203</v>
      </c>
      <c r="F8" s="2978">
        <f>ROUND(B8/$J$8*$G$27,2)</f>
        <v>0</v>
      </c>
      <c r="H8" s="3099" t="s">
        <v>3390</v>
      </c>
      <c r="I8" s="3099"/>
      <c r="J8" s="2978">
        <f>SUM(J6:J7)</f>
        <v>116375.5</v>
      </c>
      <c r="L8" s="2978">
        <f>L6+L7</f>
        <v>112312.65</v>
      </c>
    </row>
    <row r="9" spans="1:24">
      <c r="A9" s="2981" t="s">
        <v>3390</v>
      </c>
      <c r="B9" s="2986">
        <f>SUM(B3:B8)</f>
        <v>27844.7</v>
      </c>
      <c r="C9" s="2979">
        <f>SUM(C3:C8)</f>
        <v>6085.6399999999994</v>
      </c>
      <c r="D9" s="2986"/>
      <c r="E9" s="2979">
        <f>SUM(E3:E8)-E4-E5</f>
        <v>670</v>
      </c>
      <c r="F9" s="2978">
        <f>SUM(F3:F8)</f>
        <v>54943.99</v>
      </c>
      <c r="K9" s="2983" t="s">
        <v>3391</v>
      </c>
      <c r="L9" s="2978">
        <f>ROUND(L8/G27,2)</f>
        <v>0.49</v>
      </c>
    </row>
    <row r="10" spans="1:24">
      <c r="A10" s="2987"/>
      <c r="B10" s="2988"/>
      <c r="C10" s="2988"/>
      <c r="D10" s="2988"/>
      <c r="E10" s="2988"/>
    </row>
    <row r="11" spans="1:24">
      <c r="B11" s="2978">
        <f>B3+B6+B7</f>
        <v>27844.7</v>
      </c>
      <c r="D11" s="2989">
        <v>269.36</v>
      </c>
      <c r="G11" s="2990">
        <f>C3+C6+C7</f>
        <v>3366</v>
      </c>
    </row>
    <row r="12" spans="1:24">
      <c r="E12" s="2978">
        <f>E3+E6+E7</f>
        <v>467</v>
      </c>
    </row>
    <row r="15" spans="1:24">
      <c r="A15" s="3100" t="s">
        <v>3392</v>
      </c>
      <c r="B15" s="3101"/>
      <c r="C15" s="3101"/>
      <c r="D15" s="3101"/>
      <c r="E15" s="3101"/>
      <c r="F15" s="3101"/>
      <c r="G15" s="3101"/>
      <c r="H15" s="3101"/>
      <c r="I15" s="3101"/>
      <c r="J15" s="3101"/>
      <c r="K15" s="3101"/>
      <c r="L15" s="3101"/>
      <c r="M15" s="3101"/>
      <c r="N15" s="3101"/>
      <c r="O15" s="3101"/>
      <c r="P15" s="3101"/>
      <c r="Q15" s="3101"/>
      <c r="R15" s="3101"/>
      <c r="S15" s="3101"/>
      <c r="T15" s="3101"/>
      <c r="U15" s="3101"/>
      <c r="V15" s="3101"/>
      <c r="W15" s="3101"/>
      <c r="X15" s="3102"/>
    </row>
    <row r="16" spans="1:24">
      <c r="A16" s="3100" t="s">
        <v>3393</v>
      </c>
      <c r="B16" s="3101"/>
      <c r="C16" s="3101"/>
      <c r="D16" s="3101"/>
      <c r="E16" s="3101"/>
      <c r="F16" s="3101"/>
      <c r="G16" s="3101"/>
      <c r="H16" s="3101"/>
      <c r="I16" s="3101"/>
      <c r="J16" s="3101"/>
      <c r="K16" s="3101"/>
      <c r="L16" s="3101"/>
      <c r="M16" s="3101"/>
      <c r="N16" s="3101"/>
      <c r="O16" s="3101"/>
      <c r="P16" s="3101"/>
      <c r="Q16" s="3101"/>
      <c r="R16" s="3101"/>
      <c r="S16" s="3101"/>
      <c r="T16" s="3101"/>
      <c r="U16" s="3101"/>
      <c r="V16" s="3101"/>
      <c r="W16" s="3101"/>
      <c r="X16" s="3102"/>
    </row>
    <row r="17" spans="1:24">
      <c r="A17" s="3103" t="s">
        <v>3394</v>
      </c>
      <c r="B17" s="3104"/>
      <c r="C17" s="3104"/>
      <c r="D17" s="3104"/>
      <c r="E17" s="3104"/>
      <c r="F17" s="3104"/>
      <c r="G17" s="3104"/>
      <c r="H17" s="3104"/>
      <c r="I17" s="3104"/>
      <c r="J17" s="3104"/>
      <c r="K17" s="3104"/>
      <c r="L17" s="3104"/>
      <c r="M17" s="3104"/>
      <c r="N17" s="3104"/>
      <c r="O17" s="3104"/>
      <c r="P17" s="3104"/>
      <c r="Q17" s="3104"/>
      <c r="R17" s="3104"/>
      <c r="S17" s="3104"/>
      <c r="T17" s="3104"/>
      <c r="U17" s="3104"/>
      <c r="V17" s="3104"/>
      <c r="W17" s="3104"/>
      <c r="X17" s="3105"/>
    </row>
    <row r="19" spans="1:24">
      <c r="B19" s="2983"/>
    </row>
    <row r="23" spans="1:24">
      <c r="A23" s="3094" t="s">
        <v>3395</v>
      </c>
      <c r="B23" s="3094"/>
      <c r="C23" s="3094"/>
      <c r="D23" s="3094"/>
      <c r="K23" s="2978" t="s">
        <v>3410</v>
      </c>
      <c r="L23" s="2978" t="s">
        <v>3411</v>
      </c>
      <c r="M23" s="2978" t="s">
        <v>3412</v>
      </c>
    </row>
    <row r="24" spans="1:24">
      <c r="A24" s="2991">
        <v>1</v>
      </c>
      <c r="B24" s="2992" t="s">
        <v>3396</v>
      </c>
      <c r="C24" s="2992" t="s">
        <v>3397</v>
      </c>
      <c r="D24" s="2992" t="s">
        <v>3398</v>
      </c>
      <c r="J24" s="2978">
        <v>3</v>
      </c>
      <c r="K24" s="2978">
        <f>F3</f>
        <v>25862.45</v>
      </c>
      <c r="L24" s="2978">
        <f>'土地比较法-住宅、综合'!C47</f>
        <v>1613</v>
      </c>
      <c r="M24" s="2978">
        <f>L24*K24/10000</f>
        <v>4171.6131850000002</v>
      </c>
    </row>
    <row r="25" spans="1:24">
      <c r="A25" s="2991"/>
      <c r="B25" s="2991"/>
      <c r="C25" s="2992" t="s">
        <v>3399</v>
      </c>
      <c r="D25" s="2992" t="s">
        <v>3400</v>
      </c>
      <c r="F25" s="3094" t="s">
        <v>3401</v>
      </c>
      <c r="G25" s="3095"/>
      <c r="J25" s="2978">
        <v>7</v>
      </c>
      <c r="K25" s="2978">
        <f>F7</f>
        <v>14485.24</v>
      </c>
      <c r="L25" s="2978">
        <f>'土地比较法-住宅、综合'!C47</f>
        <v>1613</v>
      </c>
      <c r="M25" s="2978">
        <f>L25*K25/10000</f>
        <v>2336.469212</v>
      </c>
    </row>
    <row r="26" spans="1:24">
      <c r="A26" s="2991"/>
      <c r="B26" s="2991"/>
      <c r="C26" s="2992" t="s">
        <v>3402</v>
      </c>
      <c r="D26" s="2992" t="s">
        <v>3403</v>
      </c>
      <c r="F26" s="2993" t="s">
        <v>3404</v>
      </c>
      <c r="G26" s="2994">
        <v>41533</v>
      </c>
    </row>
    <row r="27" spans="1:24">
      <c r="F27" s="2993" t="s">
        <v>3405</v>
      </c>
      <c r="G27" s="3352">
        <v>229635.6</v>
      </c>
    </row>
    <row r="28" spans="1:24">
      <c r="F28" s="2993" t="s">
        <v>3406</v>
      </c>
      <c r="G28" s="2995">
        <v>24111.738000000001</v>
      </c>
    </row>
    <row r="29" spans="1:24">
      <c r="F29" s="2993" t="s">
        <v>3407</v>
      </c>
      <c r="G29" s="2995">
        <v>1050</v>
      </c>
    </row>
    <row r="30" spans="1:24">
      <c r="F30" s="2993" t="s">
        <v>3408</v>
      </c>
      <c r="G30" s="2995">
        <f>ROUND(G29/G31,0)</f>
        <v>1615</v>
      </c>
    </row>
    <row r="31" spans="1:24">
      <c r="F31" s="2993" t="s">
        <v>3409</v>
      </c>
      <c r="G31" s="2995">
        <v>0.65</v>
      </c>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B28" sqref="B2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43598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3291</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8" t="s">
        <v>2005</v>
      </c>
      <c r="AP5" s="1252" t="s">
        <v>2006</v>
      </c>
      <c r="AQ5" s="2307" t="s">
        <v>2007</v>
      </c>
      <c r="AR5" s="2307"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8">
        <f>'数据-汇总表'!C19</f>
        <v>3</v>
      </c>
      <c r="B6" s="2309" t="str">
        <f>IF(A6=0,"","经营性")</f>
        <v>经营性</v>
      </c>
      <c r="C6" s="2310"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13106.659999999993</v>
      </c>
      <c r="L6" s="803">
        <v>2500</v>
      </c>
      <c r="M6" s="75">
        <f t="shared" ref="M6:M14" si="0">ROUND(K6*L6/10000,0)</f>
        <v>3277</v>
      </c>
      <c r="N6" s="3349">
        <v>0.97</v>
      </c>
      <c r="O6" s="75" t="str">
        <f>IF($N$5="成新度","——",ROUND(M6*N6,0))</f>
        <v>——</v>
      </c>
      <c r="P6" s="76" t="str">
        <f>IF($N$5="成新度","——",M6-O6)</f>
        <v>——</v>
      </c>
      <c r="Q6" s="804">
        <v>0.2</v>
      </c>
      <c r="R6" s="77">
        <f ca="1">SUMIF('数据-汇总表'!C$19:C$33,A6,'数据-汇总表'!R$19:R$27)</f>
        <v>25862.45</v>
      </c>
      <c r="S6" s="54">
        <f>IF('数据-汇总表'!$I$17="按面积比例",SUMIF('数据-汇总表'!C$19:C$33,A6,'数据-汇总表'!K$19:K$33),SUMIF('数据-汇总表'!C$19:C$33,A6,'数据-汇总表'!N$19:N$33))</f>
        <v>0</v>
      </c>
      <c r="T6" s="1446">
        <f>ROUND($L$14*S6/10000,0)</f>
        <v>0</v>
      </c>
      <c r="U6" s="78">
        <v>2</v>
      </c>
      <c r="V6" s="79">
        <v>2.5000000000000001E-2</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0.02</v>
      </c>
      <c r="AN6" s="2311" t="s">
        <v>3372</v>
      </c>
      <c r="AO6" s="55">
        <f ca="1">SUMIF(INDIRECT("'"&amp;AN6&amp;"'"&amp;"!A:A"),"总价",INDIRECT("'"&amp;AN6&amp;"'"&amp;"!B:B"))</f>
        <v>12544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7</v>
      </c>
      <c r="B7" s="2309" t="str">
        <f t="shared" ref="B7:B13" si="1">IF(A7=0,"","经营性")</f>
        <v>经营性</v>
      </c>
      <c r="C7" s="2310" t="s">
        <v>1373</v>
      </c>
      <c r="D7" s="1054">
        <f>SUMIF(项目基本情况!D$12:I$12,C7,项目基本情况!D$14:I$14)</f>
        <v>40</v>
      </c>
      <c r="E7" s="1051">
        <f>IF(B7="","",SUMIF(项目基本情况!D$12:I$12,C7,项目基本情况!D$13:I$13))</f>
        <v>56156</v>
      </c>
      <c r="F7" s="72">
        <f>SUMIF(项目基本情况!D$12:I$12,C7,项目基本情况!D$15:I$15)</f>
        <v>34.4</v>
      </c>
      <c r="G7" s="73">
        <f t="shared" ref="G7:G11" si="2">IF(ISERROR(ROUND(POWER(1+H7,D7-F7)*(POWER(1+H7,F7)-1)/(POWER(1+H7,D7)-1),3)),0,ROUND(POWER(1+H7,D7-F7)*(POWER(1+H7,F7)-1)/(POWER(1+H7,D7)-1),3))</f>
        <v>0.94799999999999995</v>
      </c>
      <c r="H7" s="802">
        <v>0.05</v>
      </c>
      <c r="I7" s="802">
        <v>5.5E-2</v>
      </c>
      <c r="J7" s="74">
        <v>0.08</v>
      </c>
      <c r="K7" s="1254">
        <f>SUMIF('数据-汇总表'!C$19:C$33,A7,'数据-汇总表'!E$19:E$33)</f>
        <v>7340.8800000000037</v>
      </c>
      <c r="L7" s="803">
        <v>2500</v>
      </c>
      <c r="M7" s="75">
        <f t="shared" si="0"/>
        <v>1835</v>
      </c>
      <c r="N7" s="3349">
        <v>0.98</v>
      </c>
      <c r="O7" s="75" t="str">
        <f t="shared" ref="O7:O14" si="3">IF($N$5="成新度","——",ROUND(M7*N7,0))</f>
        <v>——</v>
      </c>
      <c r="P7" s="76" t="str">
        <f t="shared" ref="P7:P14" si="4">IF($N$5="成新度","——",M7-O7)</f>
        <v>——</v>
      </c>
      <c r="Q7" s="804">
        <v>0.2</v>
      </c>
      <c r="R7" s="77">
        <f ca="1">SUMIF('数据-汇总表'!C$19:C$33,A7,'数据-汇总表'!R$19:R$27)</f>
        <v>14485.24</v>
      </c>
      <c r="S7" s="54">
        <f>IF('数据-汇总表'!$I$17="按面积比例",SUMIF('数据-汇总表'!C$19:C$33,A7,'数据-汇总表'!K$19:K$33),SUMIF('数据-汇总表'!C$19:C$33,A7,'数据-汇总表'!N$19:N$33))</f>
        <v>0</v>
      </c>
      <c r="T7" s="1446">
        <f t="shared" ref="T7:T13" si="5">ROUND($L$14*S7/10000,0)</f>
        <v>0</v>
      </c>
      <c r="U7" s="78">
        <v>2</v>
      </c>
      <c r="V7" s="79">
        <v>2.5000000000000001E-2</v>
      </c>
      <c r="W7" s="79">
        <v>0.1</v>
      </c>
      <c r="X7" s="1264"/>
      <c r="Y7" s="80">
        <v>0.97</v>
      </c>
      <c r="Z7" s="81"/>
      <c r="AA7" s="74"/>
      <c r="AB7" s="74"/>
      <c r="AC7" s="1264"/>
      <c r="AD7" s="82"/>
      <c r="AE7" s="1265">
        <f t="shared" ref="AE7:AE13" ca="1" si="6">IF(AN7="",0,SUMIF(INDIRECT("'"&amp;AN7&amp;"'"&amp;"!E:E"),$AE$5,INDIRECT("'"&amp;AN7&amp;"'"&amp;"!F:F")))</f>
        <v>34.4</v>
      </c>
      <c r="AF7" s="1807"/>
      <c r="AG7" s="147">
        <f t="shared" ref="AG7:AG13" si="7">IF(AF7="",0,AE7-AF7)</f>
        <v>0</v>
      </c>
      <c r="AH7" s="83"/>
      <c r="AI7" s="85">
        <v>365</v>
      </c>
      <c r="AJ7" s="86"/>
      <c r="AK7" s="87">
        <v>1.4999999999999999E-2</v>
      </c>
      <c r="AL7" s="88">
        <v>1.5E-3</v>
      </c>
      <c r="AM7" s="89">
        <v>0.02</v>
      </c>
      <c r="AN7" s="2311" t="s">
        <v>3371</v>
      </c>
      <c r="AO7" s="55">
        <f t="shared" ref="AO7:AO13" ca="1" si="8">SUMIF(INDIRECT("'"&amp;AN7&amp;"'"&amp;"!A:A"),"总价",INDIRECT("'"&amp;AN7&amp;"'"&amp;"!B:B"))</f>
        <v>7027</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0.94799999999999995</v>
      </c>
      <c r="H16" s="99">
        <f>ROUND(SUMPRODUCT(H6:H13,K6:K13)/SUMPRODUCT((H6:H13&gt;0)*(K6:K13)),3)</f>
        <v>0.05</v>
      </c>
      <c r="I16" s="100"/>
      <c r="J16" s="100"/>
      <c r="K16" s="101">
        <f>SUM(K6:K15)</f>
        <v>20447.539999999997</v>
      </c>
      <c r="L16" s="102">
        <f>ROUND(M16*10000/SUM(K6:K14),0)</f>
        <v>2500</v>
      </c>
      <c r="M16" s="102">
        <f>SUM(M6:M14)</f>
        <v>5112</v>
      </c>
      <c r="N16" s="103">
        <f>ROUND(SUMPRODUCT(M6:M14,N6:N14)/M16,3)</f>
        <v>0.97399999999999998</v>
      </c>
      <c r="O16" s="102">
        <f>SUM(O6:O14)</f>
        <v>0</v>
      </c>
      <c r="P16" s="102">
        <f>SUM(P6:P14)</f>
        <v>0</v>
      </c>
      <c r="Q16" s="104">
        <f>ROUND(SUMPRODUCT(Q6:Q13,K6:K13)/SUMPRODUCT((Q6:Q13&gt;0)*(K6:K13)),2)</f>
        <v>0.2</v>
      </c>
      <c r="R16" s="1258">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3</v>
      </c>
      <c r="C20" s="2279" t="s">
        <v>2018</v>
      </c>
      <c r="D20" s="2280"/>
      <c r="E20" s="2279"/>
      <c r="F20" s="2279"/>
      <c r="G20" s="2279"/>
      <c r="H20" s="2279"/>
      <c r="I20" s="2279"/>
      <c r="J20" s="2279"/>
      <c r="K20" s="168"/>
      <c r="L20" s="168"/>
      <c r="M20" s="1584"/>
      <c r="N20" s="1584">
        <v>2017</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3</v>
      </c>
      <c r="C21" s="2279"/>
      <c r="D21" s="2280"/>
      <c r="E21" s="2279"/>
      <c r="F21" s="2279"/>
      <c r="G21" s="2279"/>
      <c r="H21" s="2279"/>
      <c r="I21" s="2279"/>
      <c r="J21" s="2279"/>
      <c r="K21" s="168"/>
      <c r="L21" s="168"/>
      <c r="M21" s="1584"/>
      <c r="N21" s="1584">
        <v>2019</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3</v>
      </c>
      <c r="C22" s="2279"/>
      <c r="D22" s="2280"/>
      <c r="E22" s="2279"/>
      <c r="F22" s="2279"/>
      <c r="G22" s="2279"/>
      <c r="H22" s="2279"/>
      <c r="I22" s="2279"/>
      <c r="J22" s="2279"/>
      <c r="K22" s="168"/>
      <c r="L22" s="168"/>
      <c r="M22" s="1584"/>
      <c r="N22" s="1584">
        <f>1-(N21-N20)/60</f>
        <v>0.96666666666666667</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3</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140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180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180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180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137</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v>5</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7" sqref="C17"/>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06" t="s">
        <v>2080</v>
      </c>
      <c r="B1" s="3107"/>
      <c r="C1" s="3107"/>
      <c r="D1" s="3107"/>
      <c r="E1" s="3107"/>
      <c r="F1" s="3107"/>
      <c r="G1" s="310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27845.149999999958</v>
      </c>
      <c r="C1" s="1745"/>
      <c r="D1" s="1745"/>
      <c r="E1" s="1745"/>
      <c r="F1" s="1745"/>
      <c r="G1" s="1743"/>
    </row>
    <row r="2" spans="1:10" ht="16.5">
      <c r="A2" s="1746" t="s">
        <v>1349</v>
      </c>
      <c r="B2" s="1746">
        <f>SUM(C14:C23)</f>
        <v>54507.960000000006</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25741</v>
      </c>
      <c r="C5" s="1746">
        <f ca="1">ROUND(B5*10000/$B$1,0)</f>
        <v>9244</v>
      </c>
      <c r="D5" s="1746">
        <f ca="1">ROUND(B5*10000/$B$2,0)</f>
        <v>4722</v>
      </c>
      <c r="E5" s="1745"/>
      <c r="F5" s="1743"/>
      <c r="G5" s="1743"/>
    </row>
    <row r="6" spans="1:10" ht="16.5">
      <c r="A6" s="1746" t="s">
        <v>1352</v>
      </c>
      <c r="B6" s="1746">
        <f ca="1">SUM(G14:G23)</f>
        <v>25741</v>
      </c>
      <c r="C6" s="1746">
        <f ca="1">ROUND(B6*10000/$B$1,0)</f>
        <v>9244</v>
      </c>
      <c r="D6" s="1746">
        <f ca="1">ROUND(B6*10000/$B$2,0)</f>
        <v>4722</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20447.539999999961</v>
      </c>
      <c r="C14" s="1744">
        <f>结果表!C118</f>
        <v>40347.69</v>
      </c>
      <c r="D14" s="3355">
        <f ca="1">结果表!H118</f>
        <v>18706</v>
      </c>
      <c r="E14" s="1744">
        <f ca="1">ROUND(D14*10000/B14,0)</f>
        <v>9148</v>
      </c>
      <c r="F14" s="1744">
        <f ca="1">ROUND(D14*10000/C14,0)</f>
        <v>4636</v>
      </c>
      <c r="G14" s="1744">
        <f ca="1">结果表!D122</f>
        <v>18706</v>
      </c>
      <c r="H14" s="1744" t="str">
        <f>结果表!D124</f>
        <v>——</v>
      </c>
      <c r="I14" s="1744" t="str">
        <f>结果表!D126</f>
        <v>——</v>
      </c>
      <c r="J14" s="1743"/>
    </row>
    <row r="15" spans="1:10" ht="16.5">
      <c r="A15" s="1742" t="s">
        <v>1345</v>
      </c>
      <c r="B15" s="1749">
        <f>[2]系统读取表!$B$1</f>
        <v>7397.6099999999988</v>
      </c>
      <c r="C15" s="1749">
        <f>[2]系统读取表!$B$2</f>
        <v>14160.27</v>
      </c>
      <c r="D15" s="1749">
        <f>[2]系统读取表!$B$5</f>
        <v>7035</v>
      </c>
      <c r="E15" s="1744">
        <f t="shared" ref="E15:E23" si="0">ROUND(D15*10000/B15,0)</f>
        <v>9510</v>
      </c>
      <c r="F15" s="1744">
        <f t="shared" ref="F15:F23" si="1">ROUND(D15*10000/C15,0)</f>
        <v>4968</v>
      </c>
      <c r="G15" s="1750">
        <f>[2]系统读取表!$B$6</f>
        <v>7035</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4" t="s">
        <v>3362</v>
      </c>
      <c r="H1" s="2424" t="str">
        <f>IF(G1="现房","——","估价对象范围")</f>
        <v>——</v>
      </c>
      <c r="I1" s="2425"/>
    </row>
    <row r="2" spans="1:12" ht="21.75" customHeight="1" thickBot="1">
      <c r="A2" s="3180" t="str">
        <f>项目基本情况!S2</f>
        <v>房地产</v>
      </c>
      <c r="B2" s="3181"/>
      <c r="C2" s="3181"/>
      <c r="D2" s="3181"/>
      <c r="E2" s="3181"/>
      <c r="F2" s="3181"/>
      <c r="G2" s="3181"/>
      <c r="H2" s="3181"/>
      <c r="I2" s="3182"/>
    </row>
    <row r="3" spans="1:12" ht="12.75">
      <c r="A3" s="3183" t="s">
        <v>2119</v>
      </c>
      <c r="B3" s="3184"/>
      <c r="C3" s="3184"/>
      <c r="D3" s="3184"/>
      <c r="E3" s="3184"/>
      <c r="F3" s="3184"/>
      <c r="G3" s="3184"/>
      <c r="H3" s="3184"/>
      <c r="I3" s="3184"/>
    </row>
    <row r="4" spans="1:12" ht="14.25">
      <c r="A4" s="2428" t="s">
        <v>2120</v>
      </c>
      <c r="B4" s="2429" t="s">
        <v>2121</v>
      </c>
      <c r="C4" s="2430" t="s">
        <v>3363</v>
      </c>
      <c r="D4" s="2430" t="s">
        <v>3423</v>
      </c>
      <c r="E4" s="3164" t="s">
        <v>2122</v>
      </c>
      <c r="F4" s="3177"/>
      <c r="G4" s="3177"/>
      <c r="H4" s="3177"/>
      <c r="I4" s="3165"/>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55" t="s">
        <v>2123</v>
      </c>
      <c r="B5" s="3069">
        <v>25</v>
      </c>
      <c r="C5" s="3185"/>
      <c r="D5" s="3173"/>
      <c r="E5" s="140" t="s">
        <v>2124</v>
      </c>
      <c r="F5" s="2432"/>
      <c r="G5" s="2432"/>
      <c r="H5" s="2432"/>
      <c r="I5" s="1834"/>
    </row>
    <row r="6" spans="1:12" ht="12.75">
      <c r="A6" s="3155"/>
      <c r="B6" s="3069"/>
      <c r="C6" s="3187"/>
      <c r="D6" s="3173"/>
      <c r="E6" s="140" t="s">
        <v>2125</v>
      </c>
      <c r="F6" s="2432"/>
      <c r="G6" s="2432"/>
      <c r="H6" s="2432"/>
      <c r="I6" s="1834"/>
    </row>
    <row r="7" spans="1:12" ht="12.75">
      <c r="A7" s="3155"/>
      <c r="B7" s="3069"/>
      <c r="C7" s="3186"/>
      <c r="D7" s="3173"/>
      <c r="E7" s="140" t="s">
        <v>2126</v>
      </c>
      <c r="F7" s="2432"/>
      <c r="G7" s="2432"/>
      <c r="H7" s="2432"/>
      <c r="I7" s="1834"/>
    </row>
    <row r="8" spans="1:12" ht="12.75">
      <c r="A8" s="3155" t="s">
        <v>2127</v>
      </c>
      <c r="B8" s="3069">
        <v>15</v>
      </c>
      <c r="C8" s="3185"/>
      <c r="D8" s="3173"/>
      <c r="E8" s="140" t="s">
        <v>2128</v>
      </c>
      <c r="F8" s="2432"/>
      <c r="G8" s="2432"/>
      <c r="H8" s="2432"/>
      <c r="I8" s="1834"/>
    </row>
    <row r="9" spans="1:12" ht="12.75">
      <c r="A9" s="3155"/>
      <c r="B9" s="3069"/>
      <c r="C9" s="3186"/>
      <c r="D9" s="3173"/>
      <c r="E9" s="140" t="s">
        <v>2129</v>
      </c>
      <c r="F9" s="2432"/>
      <c r="G9" s="2432"/>
      <c r="H9" s="2432"/>
      <c r="I9" s="1834"/>
    </row>
    <row r="10" spans="1:12" ht="12.75">
      <c r="A10" s="3155" t="s">
        <v>2130</v>
      </c>
      <c r="B10" s="3069">
        <v>15</v>
      </c>
      <c r="C10" s="3185"/>
      <c r="D10" s="3173"/>
      <c r="E10" s="140" t="s">
        <v>2131</v>
      </c>
      <c r="F10" s="2432"/>
      <c r="G10" s="2432"/>
      <c r="H10" s="2432"/>
      <c r="I10" s="1834"/>
    </row>
    <row r="11" spans="1:12" ht="12.75">
      <c r="A11" s="3155"/>
      <c r="B11" s="3069"/>
      <c r="C11" s="3186"/>
      <c r="D11" s="3173"/>
      <c r="E11" s="140" t="s">
        <v>2132</v>
      </c>
      <c r="F11" s="2432"/>
      <c r="G11" s="2432"/>
      <c r="H11" s="2432"/>
      <c r="I11" s="1834"/>
    </row>
    <row r="12" spans="1:12" ht="12.75">
      <c r="A12" s="3155" t="s">
        <v>2133</v>
      </c>
      <c r="B12" s="3069">
        <v>15</v>
      </c>
      <c r="C12" s="3185"/>
      <c r="D12" s="3173"/>
      <c r="E12" s="140" t="s">
        <v>2134</v>
      </c>
      <c r="F12" s="2432"/>
      <c r="G12" s="2432"/>
      <c r="H12" s="2432"/>
      <c r="I12" s="1834"/>
    </row>
    <row r="13" spans="1:12" ht="12.75">
      <c r="A13" s="3155"/>
      <c r="B13" s="3069"/>
      <c r="C13" s="3186"/>
      <c r="D13" s="3173"/>
      <c r="E13" s="140" t="s">
        <v>2135</v>
      </c>
      <c r="F13" s="2432"/>
      <c r="G13" s="2432"/>
      <c r="H13" s="2432"/>
      <c r="I13" s="1834"/>
    </row>
    <row r="14" spans="1:12" ht="12.75">
      <c r="A14" s="3155" t="s">
        <v>2136</v>
      </c>
      <c r="B14" s="3069">
        <v>30</v>
      </c>
      <c r="C14" s="3185">
        <v>1</v>
      </c>
      <c r="D14" s="3173">
        <v>1</v>
      </c>
      <c r="E14" s="140" t="s">
        <v>2137</v>
      </c>
      <c r="F14" s="2432"/>
      <c r="G14" s="2432"/>
      <c r="H14" s="2432"/>
      <c r="I14" s="1834"/>
    </row>
    <row r="15" spans="1:12" ht="12.75">
      <c r="A15" s="3155"/>
      <c r="B15" s="3069"/>
      <c r="C15" s="3187"/>
      <c r="D15" s="3173"/>
      <c r="E15" s="140" t="s">
        <v>2138</v>
      </c>
      <c r="F15" s="2432"/>
      <c r="G15" s="2432"/>
      <c r="H15" s="2432"/>
      <c r="I15" s="1834"/>
    </row>
    <row r="16" spans="1:12" ht="12.75">
      <c r="A16" s="3155"/>
      <c r="B16" s="3069"/>
      <c r="C16" s="3186"/>
      <c r="D16" s="3173"/>
      <c r="E16" s="140" t="s">
        <v>2139</v>
      </c>
      <c r="F16" s="2432"/>
      <c r="G16" s="2432"/>
      <c r="H16" s="2432"/>
      <c r="I16" s="1834"/>
    </row>
    <row r="17" spans="1:35" ht="15">
      <c r="A17" s="2433" t="s">
        <v>2140</v>
      </c>
      <c r="B17" s="64"/>
      <c r="C17" s="141">
        <f>SUM(C5:C16)</f>
        <v>1</v>
      </c>
      <c r="D17" s="141">
        <f>SUM(D5:D16)</f>
        <v>1</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20447.539999999961</v>
      </c>
      <c r="M18" s="2431">
        <f>IF(C1="",'数据-汇总表'!E3,SUMIF(项目类型,C1,'数据-汇总表'!E17:E26))</f>
        <v>20447.539999999961</v>
      </c>
    </row>
    <row r="19" spans="1:35" ht="15">
      <c r="A19" s="2437" t="s">
        <v>2145</v>
      </c>
      <c r="B19" s="2438" t="s">
        <v>2146</v>
      </c>
      <c r="C19" s="143">
        <f ca="1">SUMIF(INDIRECT("'"&amp;C4&amp;"'"&amp;"!A:A"),结果表!B19,INDIRECT("'"&amp;C4&amp;"'"&amp;"!B:B"))</f>
        <v>17841</v>
      </c>
      <c r="D19" s="144">
        <f ca="1">SUMIF(INDIRECT("'"&amp;D4&amp;"'"&amp;"!A:A"),结果表!B19,INDIRECT("'"&amp;D4&amp;"'"&amp;"!B:B"))</f>
        <v>19571</v>
      </c>
      <c r="E19" s="2437" t="s">
        <v>2147</v>
      </c>
      <c r="F19" s="2438" t="s">
        <v>2146</v>
      </c>
      <c r="G19" s="145">
        <f ca="1">ROUND(C19*$C$18+D19*$D$18,0)</f>
        <v>18706</v>
      </c>
      <c r="H19" s="2439" t="s">
        <v>2148</v>
      </c>
      <c r="I19" s="138"/>
      <c r="K19" s="2431" t="s">
        <v>2149</v>
      </c>
      <c r="L19" s="2431">
        <f>IF(C1="",'数据-汇总表'!D3,SUMIF(项目类型,C1,'数据-汇总表'!D17:D26)+SUMIF(项目类型,C1,'数据-汇总表'!H17:H27))</f>
        <v>40347.69</v>
      </c>
      <c r="M19" s="2431">
        <f>IF(C1="",'数据-汇总表'!D3,SUMIF(项目类型,C1,'数据-汇总表'!D17:D26))</f>
        <v>40347.69</v>
      </c>
    </row>
    <row r="20" spans="1:35" ht="15">
      <c r="A20" s="2440"/>
      <c r="B20" s="1250" t="s">
        <v>2150</v>
      </c>
      <c r="C20" s="146">
        <f ca="1">SUMIF(INDIRECT("'"&amp;C4&amp;"'"&amp;"!A:A"),结果表!B20,INDIRECT("'"&amp;C4&amp;"'"&amp;"!B:B"))</f>
        <v>8725</v>
      </c>
      <c r="D20" s="147">
        <f ca="1">SUMIF(INDIRECT("'"&amp;D4&amp;"'"&amp;"!A:A"),结果表!B20,INDIRECT("'"&amp;D4&amp;"'"&amp;"!B:B"))</f>
        <v>9571</v>
      </c>
      <c r="E20" s="2440"/>
      <c r="F20" s="1250" t="s">
        <v>2150</v>
      </c>
      <c r="G20" s="148">
        <f ca="1">ROUND(C20*$C$18+D20*$D$18,0)</f>
        <v>9148</v>
      </c>
      <c r="H20" s="983" t="s">
        <v>2151</v>
      </c>
      <c r="I20" s="138"/>
    </row>
    <row r="21" spans="1:35" ht="15" customHeight="1" thickBot="1">
      <c r="A21" s="1003"/>
      <c r="B21" s="2441" t="s">
        <v>2152</v>
      </c>
      <c r="C21" s="789">
        <f ca="1">ROUND(C19*10000/L19,0)</f>
        <v>4422</v>
      </c>
      <c r="D21" s="790">
        <f ca="1">ROUND(D19*10000/L19,0)</f>
        <v>4851</v>
      </c>
      <c r="E21" s="1003"/>
      <c r="F21" s="2441" t="s">
        <v>2152</v>
      </c>
      <c r="G21" s="149">
        <f ca="1">ROUND(G19*10000/L19,0)</f>
        <v>4636</v>
      </c>
      <c r="H21" s="2442" t="s">
        <v>2151</v>
      </c>
      <c r="I21" s="138"/>
    </row>
    <row r="22" spans="1:35" ht="15" thickBot="1">
      <c r="A22" s="2283" t="s">
        <v>2153</v>
      </c>
      <c r="B22" s="2443"/>
      <c r="C22" s="2444"/>
      <c r="D22" s="791">
        <f ca="1">IF(C19&lt;D19,D19/C19-1,C19/D19-1)</f>
        <v>9.6967658763522202E-2</v>
      </c>
      <c r="E22" s="138"/>
      <c r="F22" s="138"/>
      <c r="G22" s="138"/>
      <c r="H22" s="138"/>
      <c r="I22" s="138"/>
    </row>
    <row r="23" spans="1:35" ht="13.5" thickBot="1">
      <c r="A23" s="2421"/>
      <c r="B23" s="2421"/>
      <c r="C23" s="2421"/>
      <c r="D23" s="2421"/>
      <c r="E23" s="138"/>
      <c r="F23" s="138"/>
      <c r="G23" s="138"/>
      <c r="H23" s="138"/>
      <c r="I23" s="138"/>
    </row>
    <row r="24" spans="1:35" ht="14.25">
      <c r="A24" s="3194" t="s">
        <v>2154</v>
      </c>
      <c r="B24" s="2438" t="s">
        <v>2146</v>
      </c>
      <c r="C24" s="145">
        <f>IF(B30=0,0,D30)</f>
        <v>0</v>
      </c>
      <c r="D24" s="2445"/>
      <c r="E24" s="138"/>
      <c r="F24" s="138"/>
      <c r="G24" s="138"/>
      <c r="H24" s="138"/>
      <c r="I24" s="138"/>
    </row>
    <row r="25" spans="1:35" ht="14.25">
      <c r="A25" s="3195"/>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18706</v>
      </c>
      <c r="D32" s="2452" t="s">
        <v>2161</v>
      </c>
      <c r="E32" s="138"/>
      <c r="F32" s="138"/>
      <c r="G32" s="138"/>
      <c r="H32" s="138"/>
      <c r="I32" s="138"/>
    </row>
    <row r="33" spans="1:15" ht="15">
      <c r="A33" s="960" t="s">
        <v>2162</v>
      </c>
      <c r="B33" s="2453"/>
      <c r="C33" s="2454" t="s">
        <v>3369</v>
      </c>
      <c r="D33" s="2455" t="s">
        <v>3363</v>
      </c>
      <c r="E33" s="2456" t="s">
        <v>2163</v>
      </c>
      <c r="F33" s="2457" t="str">
        <f>IF(D32="楼面单价","取值（单价）","取值（总价）")</f>
        <v>取值（总价）</v>
      </c>
      <c r="G33" s="138"/>
      <c r="H33" s="138"/>
      <c r="I33" s="138"/>
    </row>
    <row r="34" spans="1:15" ht="15">
      <c r="A34" s="2458"/>
      <c r="B34" s="2459" t="s">
        <v>2164</v>
      </c>
      <c r="C34" s="157">
        <f ca="1">IF(C33="自定义",F34,C32-C35)</f>
        <v>10494</v>
      </c>
      <c r="D34" s="1058">
        <f ca="1">IF(C33="自定义",ROUND(C34/C32,3),IF(C33="收益比率",SUMIF(INDIRECT("'"&amp;D33&amp;"'"&amp;"!b:b"),"土地收益比率",INDIRECT("'"&amp;D33&amp;"'"&amp;"!c:c")),SUMIF(INDIRECT("'"&amp;D33&amp;"'"&amp;"!b:b"),"土地成本比率",INDIRECT("'"&amp;D33&amp;"'"&amp;"!c:c"))))</f>
        <v>0.56099999999999994</v>
      </c>
      <c r="E34" s="2460" t="s">
        <v>2165</v>
      </c>
      <c r="F34" s="1739"/>
      <c r="G34" s="138"/>
      <c r="H34" s="138"/>
      <c r="I34" s="138"/>
    </row>
    <row r="35" spans="1:15" ht="15.75" thickBot="1">
      <c r="A35" s="2461"/>
      <c r="B35" s="2462" t="s">
        <v>2166</v>
      </c>
      <c r="C35" s="1444">
        <f ca="1">IF(C33="自定义",F35,ROUND(C32*D35,0))</f>
        <v>8212</v>
      </c>
      <c r="D35" s="1445">
        <f ca="1">IF(C33="自定义",ROUND(C35/C32,3),IF(C33="收益比率",SUMIF(INDIRECT("'"&amp;D33&amp;"'"&amp;"!b:b"),"建筑物收益比率",INDIRECT("'"&amp;D33&amp;"'"&amp;"!c:c")),SUMIF(INDIRECT("'"&amp;D33&amp;"'"&amp;"!b:b"),"建筑物成本比率",INDIRECT("'"&amp;D33&amp;"'"&amp;"!c:c"))))</f>
        <v>0.439</v>
      </c>
      <c r="E35" s="2463" t="s">
        <v>2167</v>
      </c>
      <c r="F35" s="163"/>
      <c r="G35" s="138"/>
      <c r="H35" s="138"/>
      <c r="I35" s="138"/>
    </row>
    <row r="36" spans="1:15" ht="15.75" thickBot="1">
      <c r="A36" s="3174" t="s">
        <v>2168</v>
      </c>
      <c r="B36" s="2464" t="s">
        <v>2169</v>
      </c>
      <c r="C36" s="154"/>
      <c r="D36" s="2465"/>
      <c r="E36" s="2466"/>
      <c r="F36" s="2467"/>
      <c r="G36" s="138"/>
      <c r="H36" s="138"/>
      <c r="I36" s="138"/>
    </row>
    <row r="37" spans="1:15" ht="15.75" thickBot="1">
      <c r="A37" s="3175"/>
      <c r="B37" s="2269" t="s">
        <v>2170</v>
      </c>
      <c r="C37" s="156"/>
      <c r="D37" s="1395"/>
      <c r="E37" s="1395"/>
      <c r="F37" s="2467"/>
      <c r="G37" s="138"/>
      <c r="H37" s="138"/>
      <c r="I37" s="138"/>
    </row>
    <row r="38" spans="1:15" ht="15.75" thickBot="1">
      <c r="A38" s="3176"/>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91" t="s">
        <v>2182</v>
      </c>
      <c r="B45" s="3192"/>
      <c r="C45" s="3193"/>
      <c r="D45" s="164">
        <f ca="1">ROUND(H101*F45,0)</f>
        <v>18706</v>
      </c>
      <c r="E45" s="165" t="s">
        <v>2183</v>
      </c>
      <c r="F45" s="166">
        <v>1</v>
      </c>
      <c r="G45" s="167" t="s">
        <v>2184</v>
      </c>
      <c r="H45" s="138"/>
      <c r="I45" s="138"/>
      <c r="J45" s="3110" t="s">
        <v>2185</v>
      </c>
      <c r="K45" s="3110"/>
      <c r="L45" s="3110"/>
      <c r="M45" s="3110"/>
      <c r="N45" s="3110"/>
      <c r="O45" s="3110"/>
    </row>
    <row r="46" spans="1:15" ht="14.25" customHeight="1">
      <c r="A46" s="3188" t="s">
        <v>2186</v>
      </c>
      <c r="B46" s="3189"/>
      <c r="C46" s="3189"/>
      <c r="D46" s="3189"/>
      <c r="E46" s="3189"/>
      <c r="F46" s="3189"/>
      <c r="G46" s="3190"/>
      <c r="H46" s="2483"/>
      <c r="I46" s="168"/>
      <c r="J46" s="1812">
        <v>1</v>
      </c>
      <c r="K46" s="3110" t="s">
        <v>2187</v>
      </c>
      <c r="L46" s="3110"/>
      <c r="M46" s="3111"/>
      <c r="N46" s="3111"/>
      <c r="O46" s="3111"/>
    </row>
    <row r="47" spans="1:15" ht="12" customHeight="1">
      <c r="A47" s="169" t="s">
        <v>2188</v>
      </c>
      <c r="B47" s="170"/>
      <c r="C47" s="171"/>
      <c r="D47" s="172" t="s">
        <v>2189</v>
      </c>
      <c r="E47" s="24" t="s">
        <v>2190</v>
      </c>
      <c r="F47" s="173" t="s">
        <v>2191</v>
      </c>
      <c r="G47" s="174" t="s">
        <v>2192</v>
      </c>
      <c r="H47" s="2483"/>
      <c r="I47" s="168"/>
      <c r="J47" s="1812">
        <v>2</v>
      </c>
      <c r="K47" s="3110" t="s">
        <v>2193</v>
      </c>
      <c r="L47" s="3110"/>
      <c r="M47" s="3112">
        <f>'数据-取费表'!B2</f>
        <v>43598</v>
      </c>
      <c r="N47" s="3112"/>
      <c r="O47" s="3112"/>
    </row>
    <row r="48" spans="1:15" ht="25.5">
      <c r="A48" s="3178" t="s">
        <v>2194</v>
      </c>
      <c r="B48" s="3179"/>
      <c r="C48" s="3179"/>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110" t="s">
        <v>2197</v>
      </c>
      <c r="L48" s="3110"/>
      <c r="M48" s="3113">
        <f ca="1">H101</f>
        <v>18706</v>
      </c>
      <c r="N48" s="3113"/>
      <c r="O48" s="3113"/>
    </row>
    <row r="49" spans="1:35" ht="25.5" customHeight="1">
      <c r="A49" s="176" t="s">
        <v>2198</v>
      </c>
      <c r="B49" s="3158" t="s">
        <v>2199</v>
      </c>
      <c r="C49" s="3158"/>
      <c r="D49" s="177">
        <v>0</v>
      </c>
      <c r="E49" s="23" t="s">
        <v>2200</v>
      </c>
      <c r="F49" s="28" t="s">
        <v>34</v>
      </c>
      <c r="G49" s="3139"/>
      <c r="H49" s="138"/>
      <c r="I49" s="2486"/>
      <c r="J49" s="1812">
        <v>4</v>
      </c>
      <c r="K49" s="3110" t="str">
        <f>IF(项目基本情况!E8="房地产抵押价值","房地产抵押价值","抵押担保权已注销时的房地产抵押价值")</f>
        <v>房地产抵押价值</v>
      </c>
      <c r="L49" s="3110"/>
      <c r="M49" s="3113">
        <f ca="1">IF(项目基本情况!E8="房地产抵押价值",H107,H109)</f>
        <v>18706</v>
      </c>
      <c r="N49" s="3113"/>
      <c r="O49" s="3113"/>
    </row>
    <row r="50" spans="1:35" ht="25.5" customHeight="1">
      <c r="A50" s="178"/>
      <c r="B50" s="3158" t="s">
        <v>2201</v>
      </c>
      <c r="C50" s="3158"/>
      <c r="D50" s="179"/>
      <c r="E50" s="31"/>
      <c r="F50" s="180"/>
      <c r="G50" s="3140"/>
      <c r="H50" s="138"/>
      <c r="I50" s="2486"/>
      <c r="J50" s="3110" t="s">
        <v>2202</v>
      </c>
      <c r="K50" s="3110"/>
      <c r="L50" s="3110"/>
      <c r="M50" s="3110"/>
      <c r="N50" s="3110"/>
      <c r="O50" s="3110"/>
    </row>
    <row r="51" spans="1:35" ht="12" customHeight="1">
      <c r="A51" s="181"/>
      <c r="B51" s="3158" t="s">
        <v>2203</v>
      </c>
      <c r="C51" s="3158"/>
      <c r="D51" s="182"/>
      <c r="E51" s="30"/>
      <c r="F51" s="180"/>
      <c r="G51" s="3141"/>
      <c r="H51" s="138"/>
      <c r="I51" s="2486"/>
      <c r="J51" s="2487" t="s">
        <v>2204</v>
      </c>
      <c r="K51" s="3110" t="s">
        <v>2205</v>
      </c>
      <c r="L51" s="3110"/>
      <c r="M51" s="2487" t="s">
        <v>2206</v>
      </c>
      <c r="N51" s="2487" t="s">
        <v>2207</v>
      </c>
      <c r="O51" s="2487" t="s">
        <v>2208</v>
      </c>
    </row>
    <row r="52" spans="1:35" ht="24" customHeight="1">
      <c r="A52" s="183" t="s">
        <v>2209</v>
      </c>
      <c r="B52" s="3158" t="s">
        <v>2210</v>
      </c>
      <c r="C52" s="3158"/>
      <c r="D52" s="182">
        <f ca="1">ROUND(D45*'数据-取费表'!B41/(1+'数据-取费表'!C42),0)</f>
        <v>998</v>
      </c>
      <c r="E52" s="11" t="s">
        <v>2211</v>
      </c>
      <c r="F52" s="184">
        <f>'数据-取费表'!B41</f>
        <v>5.6000000000000001E-2</v>
      </c>
      <c r="G52" s="2488"/>
      <c r="H52" s="138"/>
      <c r="I52" s="2486"/>
      <c r="J52" s="1812">
        <v>1</v>
      </c>
      <c r="K52" s="3133" t="s">
        <v>2212</v>
      </c>
      <c r="L52" s="3133"/>
      <c r="M52" s="1754">
        <f>D48</f>
        <v>0</v>
      </c>
      <c r="N52" s="1812" t="str">
        <f>E48</f>
        <v>销售额×税（费）率</v>
      </c>
      <c r="O52" s="1755" t="str">
        <f>F48</f>
        <v>免征</v>
      </c>
    </row>
    <row r="53" spans="1:35" ht="12" customHeight="1">
      <c r="A53" s="183" t="s">
        <v>2213</v>
      </c>
      <c r="B53" s="3159" t="s">
        <v>2214</v>
      </c>
      <c r="C53" s="3160"/>
      <c r="D53" s="182">
        <f ca="1">ROUND(D45*'数据-取费表'!B41/(1+'数据-取费表'!C42),0)</f>
        <v>998</v>
      </c>
      <c r="E53" s="11" t="s">
        <v>2211</v>
      </c>
      <c r="F53" s="184">
        <f>'数据-取费表'!B41</f>
        <v>5.6000000000000001E-2</v>
      </c>
      <c r="G53" s="2488"/>
      <c r="H53" s="138"/>
      <c r="I53" s="2486"/>
      <c r="J53" s="1812">
        <v>2</v>
      </c>
      <c r="K53" s="3133" t="s">
        <v>2215</v>
      </c>
      <c r="L53" s="3133"/>
      <c r="M53" s="1754">
        <f t="shared" ref="M53:O54" ca="1" si="0">D55</f>
        <v>9</v>
      </c>
      <c r="N53" s="1812" t="str">
        <f t="shared" si="0"/>
        <v>销售额×税（费）率</v>
      </c>
      <c r="O53" s="1755">
        <f t="shared" si="0"/>
        <v>5.0000000000000001E-4</v>
      </c>
    </row>
    <row r="54" spans="1:35" ht="12" customHeight="1">
      <c r="A54" s="183" t="s">
        <v>2216</v>
      </c>
      <c r="B54" s="3159" t="s">
        <v>2217</v>
      </c>
      <c r="C54" s="3160"/>
      <c r="D54" s="182">
        <f ca="1">C68</f>
        <v>998</v>
      </c>
      <c r="E54" s="30" t="s">
        <v>2218</v>
      </c>
      <c r="F54" s="184">
        <f>'数据-取费表'!B41</f>
        <v>5.6000000000000001E-2</v>
      </c>
      <c r="G54" s="2488"/>
      <c r="H54" s="2489"/>
      <c r="I54" s="2486"/>
      <c r="J54" s="1812">
        <v>3</v>
      </c>
      <c r="K54" s="3133" t="s">
        <v>2219</v>
      </c>
      <c r="L54" s="3133"/>
      <c r="M54" s="1754">
        <f t="shared" ca="1" si="0"/>
        <v>10587</v>
      </c>
      <c r="N54" s="1812" t="str">
        <f t="shared" si="0"/>
        <v>增值额×税（费）率</v>
      </c>
      <c r="O54" s="1756" t="str">
        <f t="shared" si="0"/>
        <v>——</v>
      </c>
    </row>
    <row r="55" spans="1:35" ht="24" customHeight="1">
      <c r="A55" s="3197" t="s">
        <v>2220</v>
      </c>
      <c r="B55" s="3179"/>
      <c r="C55" s="3179"/>
      <c r="D55" s="185">
        <f ca="1">IF(H55="个人住宅",0,ROUND(D45*I55,0))</f>
        <v>9</v>
      </c>
      <c r="E55" s="11" t="s">
        <v>2221</v>
      </c>
      <c r="F55" s="184">
        <f>IF(H55="正常",I55,"免征")</f>
        <v>5.0000000000000001E-4</v>
      </c>
      <c r="G55" s="2488"/>
      <c r="H55" s="2485" t="s">
        <v>2222</v>
      </c>
      <c r="I55" s="186">
        <f>'数据-取费表'!B49</f>
        <v>5.0000000000000001E-4</v>
      </c>
      <c r="J55" s="1812" t="str">
        <f>IF(H59="非个人房产","",4)</f>
        <v/>
      </c>
      <c r="K55" s="3133" t="str">
        <f>IF(H59="非个人房产","——","个人所得税")</f>
        <v>——</v>
      </c>
      <c r="L55" s="3133"/>
      <c r="M55" s="1757" t="str">
        <f>D59</f>
        <v>——</v>
      </c>
      <c r="N55" s="1810" t="str">
        <f>E59</f>
        <v>——</v>
      </c>
      <c r="O55" s="1758" t="str">
        <f>F59</f>
        <v>——</v>
      </c>
    </row>
    <row r="56" spans="1:35" ht="24.75">
      <c r="A56" s="3197" t="s">
        <v>2223</v>
      </c>
      <c r="B56" s="3179"/>
      <c r="C56" s="3179"/>
      <c r="D56" s="185">
        <f ca="1">IF(H56="个人住宅",D57,D58)</f>
        <v>10587</v>
      </c>
      <c r="E56" s="11" t="s">
        <v>2224</v>
      </c>
      <c r="F56" s="184" t="str">
        <f>IF(H56="正常",F58,"免征")</f>
        <v>——</v>
      </c>
      <c r="G56" s="2490" t="s">
        <v>2225</v>
      </c>
      <c r="H56" s="2491" t="s">
        <v>2222</v>
      </c>
      <c r="I56" s="2492"/>
      <c r="J56" s="1812" t="str">
        <f>IF(项目基本情况!K6="上海银行",IF(J55="",4,J55+1),"")</f>
        <v/>
      </c>
      <c r="K56" s="3116" t="str">
        <f>IF(项目基本情况!K6="上海银行","其他处置费用","")</f>
        <v/>
      </c>
      <c r="L56" s="3117"/>
      <c r="M56" s="1754" t="str">
        <f>IF(项目基本情况!K6="上海银行",M69,"")</f>
        <v/>
      </c>
      <c r="N56" s="3119" t="str">
        <f>IF(项目基本情况!K6="上海银行","包含处置中涉及的律师、诉讼、拍卖、评估等费用","")</f>
        <v/>
      </c>
      <c r="O56" s="3120"/>
    </row>
    <row r="57" spans="1:35" ht="12.75">
      <c r="A57" s="183" t="s">
        <v>2198</v>
      </c>
      <c r="B57" s="3164" t="s">
        <v>2226</v>
      </c>
      <c r="C57" s="3165"/>
      <c r="D57" s="187">
        <v>0</v>
      </c>
      <c r="E57" s="23" t="s">
        <v>2200</v>
      </c>
      <c r="F57" s="155"/>
      <c r="G57" s="2488"/>
      <c r="H57" s="2492"/>
      <c r="I57" s="2492"/>
      <c r="J57" s="3133">
        <f>IF(AND(J55="",J56=""),4,IF(项目基本情况!K6="上海银行",结果表!J56+1,结果表!J55+1))</f>
        <v>4</v>
      </c>
      <c r="K57" s="3133" t="s">
        <v>2227</v>
      </c>
      <c r="L57" s="2493" t="s">
        <v>2228</v>
      </c>
      <c r="M57" s="1759"/>
      <c r="N57" s="1760">
        <f ca="1">SUMIF(M52:M56,"&lt;9e307")</f>
        <v>10596</v>
      </c>
      <c r="O57" s="2494"/>
      <c r="P57" s="1753">
        <f ca="1">N57/M49</f>
        <v>0.56644926761466907</v>
      </c>
    </row>
    <row r="58" spans="1:35" ht="24.75">
      <c r="A58" s="183" t="s">
        <v>2209</v>
      </c>
      <c r="B58" s="3164" t="s">
        <v>2229</v>
      </c>
      <c r="C58" s="3177"/>
      <c r="D58" s="185">
        <f ca="1">IF(H58="转让取得",C81,C97)</f>
        <v>10587</v>
      </c>
      <c r="E58" s="11" t="s">
        <v>2224</v>
      </c>
      <c r="F58" s="24" t="s">
        <v>34</v>
      </c>
      <c r="G58" s="2488"/>
      <c r="H58" s="2491" t="s">
        <v>2230</v>
      </c>
      <c r="I58" s="2492"/>
      <c r="J58" s="3133"/>
      <c r="K58" s="3133"/>
      <c r="L58" s="2493" t="s">
        <v>2231</v>
      </c>
      <c r="M58" s="1761"/>
      <c r="N58" s="2495" t="str">
        <f ca="1">NUMBERSTRING(INT(N57*10000),2)&amp;"元整"</f>
        <v>壹亿零伍佰玖拾陆万元整</v>
      </c>
      <c r="O58" s="2496"/>
    </row>
    <row r="59" spans="1:35" ht="24.75" thickBot="1">
      <c r="A59" s="3137" t="s">
        <v>2232</v>
      </c>
      <c r="B59" s="3138"/>
      <c r="C59" s="3138"/>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135">
        <f>J57+1</f>
        <v>5</v>
      </c>
      <c r="K59" s="3133" t="s">
        <v>2234</v>
      </c>
      <c r="L59" s="1812" t="s">
        <v>2228</v>
      </c>
      <c r="M59" s="1762"/>
      <c r="N59" s="1763">
        <f ca="1">M49-N57</f>
        <v>8110</v>
      </c>
      <c r="O59" s="2498"/>
    </row>
    <row r="60" spans="1:35" ht="12" customHeight="1">
      <c r="A60" s="2499"/>
      <c r="B60" s="2421"/>
      <c r="C60" s="2421"/>
      <c r="D60" s="2421"/>
      <c r="E60" s="2170"/>
      <c r="F60" s="2492"/>
      <c r="G60" s="2492"/>
      <c r="H60" s="2500"/>
      <c r="I60" s="138"/>
      <c r="J60" s="3136"/>
      <c r="K60" s="3133"/>
      <c r="L60" s="2493" t="s">
        <v>2231</v>
      </c>
      <c r="M60" s="1761"/>
      <c r="N60" s="2495" t="str">
        <f ca="1">NUMBERSTRING(INT(N59*10000),2)&amp;"元整"</f>
        <v>捌仟壹佰壹拾万元整</v>
      </c>
      <c r="O60" s="2496"/>
    </row>
    <row r="61" spans="1:35" ht="13.5" thickBot="1">
      <c r="A61" s="3196" t="s">
        <v>2235</v>
      </c>
      <c r="B61" s="3196"/>
      <c r="C61" s="3196"/>
      <c r="D61" s="3196"/>
      <c r="E61" s="3196"/>
      <c r="F61" s="2492"/>
      <c r="G61" s="2492"/>
      <c r="H61" s="2500"/>
      <c r="I61" s="138"/>
      <c r="J61" s="1812">
        <f>J59+1</f>
        <v>6</v>
      </c>
      <c r="K61" s="3133" t="s">
        <v>2236</v>
      </c>
      <c r="L61" s="3133"/>
      <c r="M61" s="1764"/>
      <c r="N61" s="1765">
        <f ca="1">ROUND(N59*10000/'数据-汇总表'!E3,0)</f>
        <v>3966</v>
      </c>
      <c r="O61" s="2501"/>
    </row>
    <row r="62" spans="1:35" ht="12.75">
      <c r="A62" s="3153" t="s">
        <v>2237</v>
      </c>
      <c r="B62" s="3154"/>
      <c r="C62" s="1804"/>
      <c r="D62" s="1804" t="s">
        <v>2238</v>
      </c>
      <c r="E62" s="192" t="s">
        <v>2239</v>
      </c>
      <c r="F62" s="2492"/>
      <c r="G62" s="2492"/>
      <c r="H62" s="2500"/>
      <c r="I62" s="138"/>
    </row>
    <row r="63" spans="1:35" ht="12.75">
      <c r="A63" s="203" t="s">
        <v>775</v>
      </c>
      <c r="B63" s="193" t="s">
        <v>2240</v>
      </c>
      <c r="C63" s="194">
        <f ca="1">ROUND((C64+C65)/(1+'数据-取费表'!C42),0)</f>
        <v>17815</v>
      </c>
      <c r="D63" s="195"/>
      <c r="E63" s="196"/>
      <c r="F63" s="2492"/>
      <c r="G63" s="2492"/>
      <c r="H63" s="2500"/>
      <c r="I63" s="138"/>
      <c r="J63" s="3118" t="s">
        <v>2241</v>
      </c>
      <c r="K63" s="2502" t="s">
        <v>2242</v>
      </c>
      <c r="L63" s="1752">
        <f ca="1">IF(M49&gt;10000,M49*0.5%,IF(AND(M49&gt;1000,M49&lt;=10000),M49*1%,IF(AND(M49&gt;100,M49&lt;=1000),M49*3%,IF(AND(M49&gt;10,M49&lt;=100),M49*5%,M49*8%))))</f>
        <v>93.53</v>
      </c>
      <c r="M63" s="24">
        <f ca="1">ROUND(L63,1)</f>
        <v>93.5</v>
      </c>
      <c r="Z63" s="2426"/>
      <c r="AI63" s="2427"/>
    </row>
    <row r="64" spans="1:35" ht="14.25" customHeight="1">
      <c r="A64" s="197" t="s">
        <v>770</v>
      </c>
      <c r="B64" s="198" t="s">
        <v>2243</v>
      </c>
      <c r="C64" s="199">
        <f ca="1">D45</f>
        <v>18706</v>
      </c>
      <c r="D64" s="200" t="s">
        <v>32</v>
      </c>
      <c r="E64" s="201"/>
      <c r="F64" s="2492"/>
      <c r="G64" s="2492"/>
      <c r="H64" s="2500"/>
      <c r="I64" s="138"/>
      <c r="J64" s="3118"/>
      <c r="K64" s="2502" t="s">
        <v>2244</v>
      </c>
      <c r="L64" s="1752">
        <f ca="1">IF(M49&gt;2000,M49*0.5%,IF(AND(M49&gt;1000,M49&lt;=2000),M49*0.6%,IF(AND(M49&gt;500,M49&lt;=1000),M49*0.7%,IF(AND(M49&gt;200,M49&lt;=500),M49*0.8%,IF(AND(M49&gt;100,M49&lt;=200),M49*0.9%,IF(AND(M49&gt;50,M49&lt;=100),M49*1%,IF(AND(M49&gt;20,M49&lt;=50),M49*1.5%,IF(AND(M49&gt;10,M49&lt;=20),M49*2%,IF(AND(M49&gt;1,M49&lt;=10),M49*2.5%)))))))))</f>
        <v>93.53</v>
      </c>
      <c r="M64" s="24">
        <f t="shared" ref="M64:M65" ca="1" si="1">ROUND(L64,1)</f>
        <v>93.5</v>
      </c>
      <c r="N64" s="138" t="s">
        <v>2245</v>
      </c>
      <c r="Z64" s="2426"/>
      <c r="AI64" s="2427"/>
    </row>
    <row r="65" spans="1:35" ht="14.25" customHeight="1">
      <c r="A65" s="197" t="s">
        <v>771</v>
      </c>
      <c r="B65" s="198" t="s">
        <v>2246</v>
      </c>
      <c r="C65" s="202"/>
      <c r="D65" s="200"/>
      <c r="E65" s="201"/>
      <c r="F65" s="2492"/>
      <c r="G65" s="2492"/>
      <c r="H65" s="2500"/>
      <c r="I65" s="138"/>
      <c r="J65" s="3118"/>
      <c r="K65" s="2502" t="s">
        <v>2247</v>
      </c>
      <c r="L65" s="1752">
        <f ca="1">IF(M49&gt;1000,M49*0.1%,IF(AND(M49&gt;500,M49&lt;=1000),M49*0.5%,IF(AND(M49&gt;50,M49&lt;=500),M49*1%,IF(AND(M49&gt;1,M49&lt;=50),M49*1.5%))))</f>
        <v>18.706</v>
      </c>
      <c r="M65" s="24">
        <f t="shared" ca="1" si="1"/>
        <v>18.7</v>
      </c>
      <c r="N65" s="138" t="s">
        <v>2245</v>
      </c>
      <c r="Z65" s="2426"/>
      <c r="AI65" s="2427"/>
    </row>
    <row r="66" spans="1:35" ht="14.25" customHeight="1">
      <c r="A66" s="203" t="s">
        <v>772</v>
      </c>
      <c r="B66" s="204" t="s">
        <v>2248</v>
      </c>
      <c r="C66" s="205"/>
      <c r="D66" s="206" t="s">
        <v>32</v>
      </c>
      <c r="E66" s="1776" t="s">
        <v>1367</v>
      </c>
      <c r="F66" s="2492"/>
      <c r="G66" s="2492"/>
      <c r="H66" s="2500"/>
      <c r="I66" s="138"/>
      <c r="J66" s="3118"/>
      <c r="K66" s="2502" t="s">
        <v>2249</v>
      </c>
      <c r="L66" s="1752">
        <f ca="1">M49*0.5%</f>
        <v>93.53</v>
      </c>
      <c r="M66" s="24">
        <f ca="1">IF(L66&gt;0.5,0.5,ROUND(L66,0))</f>
        <v>0.5</v>
      </c>
      <c r="N66" s="138" t="s">
        <v>2250</v>
      </c>
      <c r="Z66" s="2426"/>
      <c r="AI66" s="2427"/>
    </row>
    <row r="67" spans="1:35" ht="14.25" customHeight="1">
      <c r="A67" s="203" t="s">
        <v>773</v>
      </c>
      <c r="B67" s="204" t="s">
        <v>2251</v>
      </c>
      <c r="C67" s="207">
        <f ca="1">C63-C66</f>
        <v>17815</v>
      </c>
      <c r="D67" s="200" t="s">
        <v>32</v>
      </c>
      <c r="E67" s="201"/>
      <c r="F67" s="2492"/>
      <c r="G67" s="2492"/>
      <c r="H67" s="2500"/>
      <c r="I67" s="138"/>
      <c r="J67" s="3118"/>
      <c r="K67" s="2502" t="s">
        <v>2252</v>
      </c>
      <c r="L67" s="1752">
        <f ca="1">IF(M49&gt;=10000,(8.25+(M49-10000)*0.01%),IF(AND(M49&gt;=8000,M49&lt;10000),(7.85+(M49-8000)*0.02%),IF(AND(M49&gt;=5000,M49&lt;8000),(6.65+(M49-5000)*0.04%),IF(AND(M49&gt;=2000,M49&lt;5000),(4.25+(PM49-2000)*0.08%),IF(AND(M49&gt;=1000,M49&lt;2000),(2.75+(M49-1000)*0.15%),IF(AND(M49&gt;=100,M49&lt;1000),(0.5+(M49-100)*0.25%),IF(AND(M49&gt;0,M49&lt;100),M49*0.5%)))))))</f>
        <v>9.1205999999999996</v>
      </c>
      <c r="M67" s="24">
        <f ca="1">ROUND(L67*0.9,1)</f>
        <v>8.1999999999999993</v>
      </c>
      <c r="Z67" s="2426"/>
      <c r="AI67" s="2427"/>
    </row>
    <row r="68" spans="1:35" ht="14.25" customHeight="1" thickBot="1">
      <c r="A68" s="208" t="s">
        <v>774</v>
      </c>
      <c r="B68" s="209" t="s">
        <v>2253</v>
      </c>
      <c r="C68" s="210">
        <f ca="1">IF(C67&lt;=0,0,ROUND(C67*D68,0))</f>
        <v>998</v>
      </c>
      <c r="D68" s="211">
        <f>'数据-取费表'!B41</f>
        <v>5.6000000000000001E-2</v>
      </c>
      <c r="E68" s="212"/>
      <c r="F68" s="2492"/>
      <c r="G68" s="2492"/>
      <c r="H68" s="2500"/>
      <c r="I68" s="138"/>
      <c r="J68" s="3118"/>
      <c r="K68" s="2502" t="s">
        <v>2254</v>
      </c>
      <c r="L68" s="1752">
        <f ca="1">IF(M49&gt;10000,M49*0.5%,IF(AND(M49&gt;5000,M49&lt;=10000),M49*1%,IF(AND(M49&gt;1000,M49&lt;=5000),M49*2%,IF(AND(M49&gt;200,M49&lt;=1000),M49*3%,M49*5%))))</f>
        <v>93.53</v>
      </c>
      <c r="M68" s="24">
        <f ca="1">ROUND(L68,1)</f>
        <v>93.5</v>
      </c>
      <c r="Z68" s="2426"/>
      <c r="AI68" s="2427"/>
    </row>
    <row r="69" spans="1:35" s="2449" customFormat="1" ht="16.5" customHeight="1">
      <c r="A69" s="2503"/>
      <c r="B69" s="2504"/>
      <c r="C69" s="2505"/>
      <c r="D69" s="2506"/>
      <c r="E69" s="2507"/>
      <c r="F69" s="2170"/>
      <c r="G69" s="2170"/>
      <c r="H69" s="2169"/>
      <c r="I69" s="2421"/>
      <c r="J69" s="3118"/>
      <c r="K69" s="2502" t="s">
        <v>2255</v>
      </c>
      <c r="L69" s="2508"/>
      <c r="M69" s="24">
        <f ca="1">ROUND(SUM(M63:M68),0)</f>
        <v>308</v>
      </c>
      <c r="N69" s="1753">
        <f ca="1">M69/M49</f>
        <v>1.6465305249652517E-2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62" t="s">
        <v>2256</v>
      </c>
      <c r="B70" s="3163"/>
      <c r="C70" s="3163"/>
      <c r="D70" s="3163"/>
      <c r="E70" s="3163"/>
      <c r="F70" s="3163"/>
      <c r="G70" s="3163"/>
      <c r="H70" s="316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53" t="s">
        <v>2237</v>
      </c>
      <c r="B71" s="3154"/>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17815</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107</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59" t="s">
        <v>2265</v>
      </c>
      <c r="F76" s="3158"/>
      <c r="G76" s="3158"/>
      <c r="H76" s="316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107</v>
      </c>
      <c r="D78" s="226">
        <f>'数据-取费表'!B43</f>
        <v>6.000000000000001E-3</v>
      </c>
      <c r="E78" s="3150" t="s">
        <v>2270</v>
      </c>
      <c r="F78" s="3151"/>
      <c r="G78" s="3151"/>
      <c r="H78" s="315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17708</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165.49532710280374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10587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62" t="s">
        <v>2274</v>
      </c>
      <c r="B83" s="3163"/>
      <c r="C83" s="3163"/>
      <c r="D83" s="3163"/>
      <c r="E83" s="3163"/>
      <c r="F83" s="3163"/>
      <c r="G83" s="3163"/>
      <c r="H83" s="316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53" t="s">
        <v>2237</v>
      </c>
      <c r="B84" s="3154"/>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17815</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107</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50" t="s">
        <v>2283</v>
      </c>
      <c r="F91" s="3151"/>
      <c r="G91" s="3151"/>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50" t="s">
        <v>2287</v>
      </c>
      <c r="F92" s="3151"/>
      <c r="G92" s="3151"/>
      <c r="H92" s="315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107</v>
      </c>
      <c r="D93" s="226">
        <f>'数据-取费表'!B43</f>
        <v>6.000000000000001E-3</v>
      </c>
      <c r="E93" s="3150" t="s">
        <v>2270</v>
      </c>
      <c r="F93" s="3151"/>
      <c r="G93" s="3151"/>
      <c r="H93" s="315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98" t="s">
        <v>2291</v>
      </c>
      <c r="F94" s="3199"/>
      <c r="G94" s="3199"/>
      <c r="H94" s="320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17708</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165.49532710280374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10587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2292</v>
      </c>
      <c r="B99" s="2421"/>
      <c r="C99" s="2421"/>
      <c r="D99" s="2421"/>
      <c r="E99" s="2170"/>
      <c r="F99" s="2170"/>
      <c r="G99" s="2170"/>
      <c r="H99" s="2169"/>
      <c r="I99" s="138"/>
    </row>
    <row r="100" spans="1:35" ht="18.75" customHeight="1">
      <c r="A100" s="3090" t="s">
        <v>2293</v>
      </c>
      <c r="B100" s="3091"/>
      <c r="C100" s="3091"/>
      <c r="D100" s="3134"/>
      <c r="E100" s="3091" t="s">
        <v>2294</v>
      </c>
      <c r="F100" s="3091"/>
      <c r="G100" s="3091"/>
      <c r="H100" s="3134"/>
      <c r="I100" s="138"/>
    </row>
    <row r="101" spans="1:35" ht="18.75" customHeight="1">
      <c r="A101" s="3142" t="s">
        <v>2295</v>
      </c>
      <c r="B101" s="3143"/>
      <c r="C101" s="736" t="str">
        <f>C4</f>
        <v>成本法</v>
      </c>
      <c r="D101" s="737" t="str">
        <f>D4</f>
        <v>收益法（汇总）</v>
      </c>
      <c r="E101" s="3114" t="s">
        <v>2296</v>
      </c>
      <c r="F101" s="3115"/>
      <c r="G101" s="2523" t="s">
        <v>2297</v>
      </c>
      <c r="H101" s="1048">
        <f ca="1">H118</f>
        <v>18706</v>
      </c>
      <c r="I101" s="138"/>
    </row>
    <row r="102" spans="1:35" ht="18.75" customHeight="1">
      <c r="A102" s="3144" t="s">
        <v>2298</v>
      </c>
      <c r="B102" s="2523" t="s">
        <v>2297</v>
      </c>
      <c r="C102" s="736">
        <f ca="1">C19</f>
        <v>17841</v>
      </c>
      <c r="D102" s="737">
        <f ca="1">D19</f>
        <v>19571</v>
      </c>
      <c r="E102" s="3114"/>
      <c r="F102" s="3115"/>
      <c r="G102" s="2523" t="s">
        <v>2299</v>
      </c>
      <c r="H102" s="371">
        <f ca="1">I118</f>
        <v>9148</v>
      </c>
      <c r="I102" s="138"/>
    </row>
    <row r="103" spans="1:35" ht="42.75" customHeight="1">
      <c r="A103" s="3144"/>
      <c r="B103" s="2523" t="s">
        <v>2299</v>
      </c>
      <c r="C103" s="738">
        <f ca="1">C20</f>
        <v>8725</v>
      </c>
      <c r="D103" s="739">
        <f ca="1">D20</f>
        <v>9571</v>
      </c>
      <c r="E103" s="3108" t="s">
        <v>2300</v>
      </c>
      <c r="F103" s="3109"/>
      <c r="G103" s="2524" t="s">
        <v>2301</v>
      </c>
      <c r="H103" s="1048">
        <f>IF(D36="正常操作",H104+H105+H106,H105+H106)</f>
        <v>0</v>
      </c>
      <c r="I103" s="138"/>
    </row>
    <row r="104" spans="1:35" ht="18.75" customHeight="1">
      <c r="A104" s="3144" t="s">
        <v>2302</v>
      </c>
      <c r="B104" s="2525" t="s">
        <v>2297</v>
      </c>
      <c r="C104" s="740">
        <f ca="1">H118</f>
        <v>18706</v>
      </c>
      <c r="D104" s="741"/>
      <c r="E104" s="2269" t="s">
        <v>2303</v>
      </c>
      <c r="F104" s="2260"/>
      <c r="G104" s="2524" t="s">
        <v>2301</v>
      </c>
      <c r="H104" s="1049">
        <f>IF(D36="同一抵押权人同一抵押物续贷",C36&amp;"（未扣减，详见特别提示）",C36)</f>
        <v>0</v>
      </c>
      <c r="I104" s="138"/>
    </row>
    <row r="105" spans="1:35" ht="18.75" customHeight="1" thickBot="1">
      <c r="A105" s="3156"/>
      <c r="B105" s="2526" t="s">
        <v>2299</v>
      </c>
      <c r="C105" s="742">
        <f ca="1">I118</f>
        <v>9148</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45" t="str">
        <f>IF(项目基本情况!E8="已注销","——","3.房地产抵押价值")</f>
        <v>3.房地产抵押价值</v>
      </c>
      <c r="F107" s="3115"/>
      <c r="G107" s="2523" t="s">
        <v>2297</v>
      </c>
      <c r="H107" s="1048">
        <f ca="1">IF(E107="——","——",H101-H103)</f>
        <v>18706</v>
      </c>
      <c r="I107" s="138"/>
    </row>
    <row r="108" spans="1:35" ht="18.75" customHeight="1">
      <c r="A108" s="138"/>
      <c r="B108" s="138"/>
      <c r="C108" s="138"/>
      <c r="D108" s="138"/>
      <c r="E108" s="3145"/>
      <c r="F108" s="3115"/>
      <c r="G108" s="2523" t="s">
        <v>2299</v>
      </c>
      <c r="H108" s="371">
        <f ca="1">ROUND(H107*10000/'数据-汇总表'!E3,0)</f>
        <v>9148</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15"/>
      <c r="G109" s="2523" t="s">
        <v>2297</v>
      </c>
      <c r="H109" s="348" t="str">
        <f>IF(E109="——","——",H101-H105-H106)</f>
        <v>——</v>
      </c>
      <c r="I109" s="138"/>
    </row>
    <row r="110" spans="1:35" ht="18.75" customHeight="1">
      <c r="A110" s="138"/>
      <c r="B110" s="138"/>
      <c r="C110" s="138"/>
      <c r="D110" s="138"/>
      <c r="E110" s="3145"/>
      <c r="F110" s="3115"/>
      <c r="G110" s="2523" t="s">
        <v>2299</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23" t="s">
        <v>2297</v>
      </c>
      <c r="H111" s="1048" t="str">
        <f>IF(E111="——","——",N59)</f>
        <v>——</v>
      </c>
      <c r="I111" s="138"/>
    </row>
    <row r="112" spans="1:35" ht="18.75" customHeight="1" thickBot="1">
      <c r="A112" s="138"/>
      <c r="B112" s="138"/>
      <c r="C112" s="138"/>
      <c r="D112" s="138"/>
      <c r="E112" s="3148"/>
      <c r="F112" s="3149"/>
      <c r="G112" s="2528" t="s">
        <v>2299</v>
      </c>
      <c r="H112" s="790" t="str">
        <f>IF(E111="——","——",N61)</f>
        <v>——</v>
      </c>
      <c r="I112" s="138"/>
    </row>
    <row r="113" spans="1:11" ht="18.75" customHeight="1">
      <c r="A113" s="138"/>
      <c r="B113" s="138"/>
      <c r="C113" s="138"/>
      <c r="D113" s="138"/>
      <c r="E113" s="3157" t="s">
        <v>2305</v>
      </c>
      <c r="F113" s="3157"/>
      <c r="G113" s="3157"/>
      <c r="H113" s="3157"/>
      <c r="I113" s="138"/>
    </row>
    <row r="114" spans="1:11" ht="3.75" customHeight="1">
      <c r="A114" s="2421"/>
      <c r="B114" s="2421"/>
      <c r="C114" s="2421"/>
      <c r="D114" s="2421"/>
      <c r="E114" s="2499"/>
      <c r="F114" s="2499"/>
      <c r="G114" s="2499"/>
      <c r="H114" s="2499"/>
      <c r="I114" s="2421"/>
    </row>
    <row r="115" spans="1:11" ht="18.75" customHeight="1">
      <c r="A115" s="3170" t="s">
        <v>2307</v>
      </c>
      <c r="B115" s="3171"/>
      <c r="C115" s="3171"/>
      <c r="D115" s="3171"/>
      <c r="E115" s="3171"/>
      <c r="F115" s="3171"/>
      <c r="G115" s="3171"/>
      <c r="H115" s="3171"/>
      <c r="I115" s="3172"/>
    </row>
    <row r="116" spans="1:11" ht="27" customHeight="1">
      <c r="A116" s="3069" t="s">
        <v>2308</v>
      </c>
      <c r="B116" s="3124" t="s">
        <v>2309</v>
      </c>
      <c r="C116" s="3124" t="s">
        <v>2310</v>
      </c>
      <c r="D116" s="3130" t="s">
        <v>2311</v>
      </c>
      <c r="E116" s="3131"/>
      <c r="F116" s="3166" t="s">
        <v>3370</v>
      </c>
      <c r="G116" s="3166"/>
      <c r="H116" s="3069" t="s">
        <v>2312</v>
      </c>
      <c r="I116" s="3069"/>
    </row>
    <row r="117" spans="1:11" ht="18.75" customHeight="1">
      <c r="A117" s="3069"/>
      <c r="B117" s="3125"/>
      <c r="C117" s="3125"/>
      <c r="D117" s="1798" t="s">
        <v>2313</v>
      </c>
      <c r="E117" s="1798" t="s">
        <v>2314</v>
      </c>
      <c r="F117" s="1798" t="s">
        <v>2313</v>
      </c>
      <c r="G117" s="1798" t="s">
        <v>2315</v>
      </c>
      <c r="H117" s="1798" t="s">
        <v>2313</v>
      </c>
      <c r="I117" s="1798" t="s">
        <v>2315</v>
      </c>
    </row>
    <row r="118" spans="1:11" ht="24.75" customHeight="1">
      <c r="A118" s="2529" t="str">
        <f>项目基本情况!S2</f>
        <v>房地产</v>
      </c>
      <c r="B118" s="1798">
        <f>M18</f>
        <v>20447.539999999961</v>
      </c>
      <c r="C118" s="1798">
        <f>M19</f>
        <v>40347.69</v>
      </c>
      <c r="D118" s="1798">
        <f ca="1">ROUND(IF(D32="总价",C34,E118*B118/10000),0)</f>
        <v>10494</v>
      </c>
      <c r="E118" s="1798">
        <f ca="1">ROUND(IF(C33="自定义",IF(D32="楼面单价",C34,D118*10000/B118),I118-G118),0)</f>
        <v>5132</v>
      </c>
      <c r="F118" s="1798">
        <f ca="1">ROUND(IF(D32="总价",C35,G118*B118/10000),0)</f>
        <v>8212</v>
      </c>
      <c r="G118" s="1798">
        <f ca="1">ROUND(IF(D32="楼面单价",C35,F118*10000/B118),0)</f>
        <v>4016</v>
      </c>
      <c r="H118" s="1798">
        <f ca="1">ROUND(IF(D32="总价",C32,I118*B118/10000),0)</f>
        <v>18706</v>
      </c>
      <c r="I118" s="1798">
        <f ca="1">ROUND(IF(D32="楼面单价",C32,H118*10000/B118),0)</f>
        <v>9148</v>
      </c>
    </row>
    <row r="119" spans="1:11" ht="18.75" customHeight="1">
      <c r="A119" s="3069" t="s">
        <v>2316</v>
      </c>
      <c r="B119" s="3069"/>
      <c r="C119" s="3069"/>
      <c r="D119" s="3126" t="str">
        <f ca="1">NUMBERSTRING(INT(D118*10000),2)&amp;"元整"</f>
        <v>壹亿零肆佰玖拾肆万元整</v>
      </c>
      <c r="E119" s="3127"/>
      <c r="F119" s="3126" t="str">
        <f ca="1">NUMBERSTRING(INT(F118*10000),2)&amp;"元整"</f>
        <v>捌仟贰佰壹拾贰万元整</v>
      </c>
      <c r="G119" s="3127"/>
      <c r="H119" s="3126" t="str">
        <f ca="1">NUMBERSTRING(INT(H118*10000),2)&amp;"元整"</f>
        <v>壹亿捌仟柒佰零陆万元整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26" t="str">
        <f>IF(D120=0,"故，本次评估不存在"&amp;A120,"故，本次评估"&amp;A120&amp;"为人民币"&amp;D120&amp;"万元整。")</f>
        <v>故，本次评估不存在估价师知悉的法定优先受偿款</v>
      </c>
    </row>
    <row r="121" spans="1:11" ht="18.75" customHeight="1">
      <c r="A121" s="3167" t="s">
        <v>2316</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18706</v>
      </c>
      <c r="E122" s="3122"/>
      <c r="F122" s="3122"/>
      <c r="G122" s="3122"/>
      <c r="H122" s="3122"/>
      <c r="I122" s="3123"/>
    </row>
    <row r="123" spans="1:11" ht="18.75" customHeight="1">
      <c r="A123" s="3069" t="s">
        <v>2316</v>
      </c>
      <c r="B123" s="3069"/>
      <c r="C123" s="3069"/>
      <c r="D123" s="3126" t="str">
        <f ca="1">NUMBERSTRING(INT(D122*10000),2)&amp;"元整"</f>
        <v>壹亿捌仟柒佰零陆万元整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69" t="s">
        <v>2316</v>
      </c>
      <c r="B125" s="3069"/>
      <c r="C125" s="3069"/>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69" t="s">
        <v>2316</v>
      </c>
      <c r="B127" s="3069"/>
      <c r="C127" s="3069"/>
      <c r="D127" s="3126" t="e">
        <f>NUMBERSTRING(INT(D126*10000),2)&amp;"元整"</f>
        <v>#VALUE!</v>
      </c>
      <c r="E127" s="3128"/>
      <c r="F127" s="3128"/>
      <c r="G127" s="3128"/>
      <c r="H127" s="3128"/>
      <c r="I127" s="3127"/>
    </row>
    <row r="128" spans="1:11" ht="21.75" customHeight="1">
      <c r="A128" s="3129" t="s">
        <v>2317</v>
      </c>
      <c r="B128" s="3129"/>
      <c r="C128" s="3129"/>
      <c r="D128" s="3129"/>
      <c r="E128" s="3129"/>
      <c r="F128" s="3129"/>
      <c r="G128" s="3129"/>
      <c r="H128" s="3129"/>
      <c r="I128" s="3129"/>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3" t="str">
        <f>项目基本情况!B1</f>
        <v>房地产抵押价值预评估</v>
      </c>
      <c r="C37" s="3003"/>
      <c r="D37" s="3003"/>
      <c r="E37" s="3003"/>
      <c r="F37" s="3003"/>
      <c r="G37" s="3003"/>
      <c r="H37" s="3003"/>
      <c r="I37" s="300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4" sqref="E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8</v>
      </c>
    </row>
    <row r="2" spans="1:9" s="244" customFormat="1" ht="18" customHeight="1">
      <c r="A2" s="245" t="s">
        <v>2326</v>
      </c>
      <c r="B2" s="246">
        <f ca="1">IF(D2="——",C52,C52-E2)</f>
        <v>17841</v>
      </c>
      <c r="C2" s="243" t="s">
        <v>2327</v>
      </c>
      <c r="D2" s="2552" t="s">
        <v>70</v>
      </c>
      <c r="E2" s="1443" t="e">
        <f ca="1">SUMIF(INDIRECT("'"&amp;G2&amp;"'"&amp;"!A:A"),"承租人权益价值",INDIRECT("'"&amp;G2&amp;"'"&amp;"!c:c"))</f>
        <v>#REF!</v>
      </c>
      <c r="F2" s="2553" t="s">
        <v>2327</v>
      </c>
      <c r="G2" s="2554"/>
    </row>
    <row r="3" spans="1:9" s="244" customFormat="1" ht="18" customHeight="1" thickBot="1">
      <c r="A3" s="247" t="s">
        <v>2328</v>
      </c>
      <c r="B3" s="248">
        <f ca="1">ROUND(B2*10000/(IF(B1="",'数据-汇总表'!E3,INDIRECT("'数据-取费表'!k"&amp;$G$1))),0)</f>
        <v>8725</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6706</v>
      </c>
      <c r="D5" s="255" t="s">
        <v>2333</v>
      </c>
      <c r="E5" s="256" t="s">
        <v>2334</v>
      </c>
      <c r="F5" s="256" t="s">
        <v>2335</v>
      </c>
      <c r="G5" s="257"/>
    </row>
    <row r="6" spans="1:9" s="258" customFormat="1" ht="13.5" customHeight="1">
      <c r="A6" s="952" t="s">
        <v>2336</v>
      </c>
      <c r="B6" s="259" t="s">
        <v>2337</v>
      </c>
      <c r="C6" s="260">
        <f>'土地比较法-住宅、综合'!B2</f>
        <v>6508</v>
      </c>
      <c r="D6" s="261"/>
      <c r="E6" s="262"/>
      <c r="F6" s="262"/>
      <c r="G6" s="263"/>
    </row>
    <row r="7" spans="1:9" s="258" customFormat="1" ht="13.5" customHeight="1">
      <c r="A7" s="952" t="s">
        <v>2338</v>
      </c>
      <c r="B7" s="259" t="s">
        <v>2339</v>
      </c>
      <c r="C7" s="264">
        <f>ROUND(C6*F7,0)</f>
        <v>198</v>
      </c>
      <c r="D7" s="264"/>
      <c r="E7" s="262"/>
      <c r="F7" s="265">
        <f>'数据-取费表'!B48+'数据-取费表'!B49</f>
        <v>3.0499999999999999E-2</v>
      </c>
      <c r="G7" s="263"/>
    </row>
    <row r="8" spans="1:9" s="267" customFormat="1">
      <c r="A8" s="952" t="s">
        <v>2340</v>
      </c>
      <c r="B8" s="259" t="s">
        <v>2341</v>
      </c>
      <c r="C8" s="264" t="str">
        <f>IF(G8="已包含在土地购买价格中","0",IF(B1="",'数据-取费表'!B29,IF(G9="全部缴纳",C9+C10,H9)))</f>
        <v>0</v>
      </c>
      <c r="D8" s="266"/>
      <c r="E8" s="264"/>
      <c r="F8" s="265"/>
      <c r="G8" s="3354" t="s">
        <v>1145</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c r="H9" s="1393"/>
      <c r="I9" s="2557" t="s">
        <v>2343</v>
      </c>
    </row>
    <row r="10" spans="1:9" s="258" customFormat="1" ht="13.5" customHeight="1">
      <c r="A10" s="953" t="s">
        <v>801</v>
      </c>
      <c r="B10" s="268" t="s">
        <v>2344</v>
      </c>
      <c r="C10" s="269">
        <f ca="1">ROUND(D10*E10/10000,0)</f>
        <v>286</v>
      </c>
      <c r="D10" s="1035">
        <f ca="1">IF(B1="",'数据-汇总表'!E6,IF(INDIRECT("'数据-取费表'!c"&amp;$G$1)="住宅",INDIRECT("'数据-取费表'!s"&amp;$G$1),INDIRECT("'数据-取费表'!k"&amp;$G$1)+INDIRECT("'数据-取费表'!s"&amp;$G$1)))</f>
        <v>20447.539999999961</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20447.539999999961</v>
      </c>
      <c r="E19" s="255">
        <f>'数据-取费表'!B31</f>
        <v>180</v>
      </c>
      <c r="F19" s="275"/>
      <c r="G19" s="3354" t="s">
        <v>3431</v>
      </c>
    </row>
    <row r="20" spans="1:7" s="258" customFormat="1" ht="13.5" customHeight="1">
      <c r="A20" s="299" t="s">
        <v>2357</v>
      </c>
      <c r="B20" s="254" t="s">
        <v>2358</v>
      </c>
      <c r="C20" s="276">
        <f>ROUND((C5+C19)*F20,0)</f>
        <v>134</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1012</v>
      </c>
      <c r="D22" s="279">
        <f ca="1">C26</f>
        <v>1.4E-3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1002</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10</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1368</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1368</v>
      </c>
      <c r="D28" s="279"/>
      <c r="E28" s="280"/>
      <c r="F28" s="290"/>
      <c r="G28" s="291"/>
    </row>
    <row r="29" spans="1:7" s="258" customFormat="1" ht="13.5" customHeight="1">
      <c r="A29" s="954"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10008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5710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5112</v>
      </c>
      <c r="D34" s="261"/>
      <c r="E34" s="264"/>
      <c r="F34" s="301">
        <f ca="1">IF('数据-取费表'!B24=0,1,IF(B1="",'数据-取费表'!N16,INDIRECT("'数据-取费表'!n"&amp;$G$1)))</f>
        <v>1</v>
      </c>
      <c r="G34" s="263" t="s">
        <v>2390</v>
      </c>
    </row>
    <row r="35" spans="1:7" ht="13.5" customHeight="1">
      <c r="A35" s="954" t="s">
        <v>796</v>
      </c>
      <c r="B35" s="259" t="s">
        <v>2391</v>
      </c>
      <c r="C35" s="264">
        <f ca="1">ROUND(C34*F35,0)</f>
        <v>153</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368</v>
      </c>
      <c r="D37" s="261">
        <f ca="1">D19</f>
        <v>20447.539999999961</v>
      </c>
      <c r="E37" s="293">
        <f>'数据-取费表'!B35</f>
        <v>180</v>
      </c>
      <c r="F37" s="303"/>
      <c r="G37" s="305" t="s">
        <v>2396</v>
      </c>
    </row>
    <row r="38" spans="1:7" ht="13.5" customHeight="1">
      <c r="A38" s="954" t="s">
        <v>799</v>
      </c>
      <c r="B38" s="259" t="s">
        <v>2397</v>
      </c>
      <c r="C38" s="264">
        <f ca="1">ROUND(C34*F38,0)</f>
        <v>77</v>
      </c>
      <c r="D38" s="264"/>
      <c r="E38" s="264"/>
      <c r="F38" s="303">
        <f>'数据-取费表'!B36</f>
        <v>1.4999999999999999E-2</v>
      </c>
      <c r="G38" s="263" t="s">
        <v>2392</v>
      </c>
    </row>
    <row r="39" spans="1:7" s="258" customFormat="1" ht="13.5" customHeight="1">
      <c r="A39" s="299" t="s">
        <v>2398</v>
      </c>
      <c r="B39" s="254" t="s">
        <v>2399</v>
      </c>
      <c r="C39" s="276">
        <f ca="1">ROUND(C33*F20,0)</f>
        <v>114</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420</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412</v>
      </c>
      <c r="D42" s="282"/>
      <c r="E42" s="282"/>
      <c r="F42" s="283"/>
      <c r="G42" s="3201" t="s">
        <v>2408</v>
      </c>
    </row>
    <row r="43" spans="1:7" ht="13.5" customHeight="1">
      <c r="A43" s="954" t="s">
        <v>792</v>
      </c>
      <c r="B43" s="259" t="s">
        <v>2409</v>
      </c>
      <c r="C43" s="282">
        <f ca="1">ROUND(IF('数据-取费表'!B22&lt;=1,C39*F22*'数据-取费表'!B21/2,C39*(POWER((1+F22),'数据-取费表'!B21/2)-1)),0)</f>
        <v>8</v>
      </c>
      <c r="D43" s="282"/>
      <c r="E43" s="282"/>
      <c r="F43" s="283"/>
      <c r="G43" s="3202"/>
    </row>
    <row r="44" spans="1:7" ht="13.5" customHeight="1">
      <c r="A44" s="954" t="s">
        <v>793</v>
      </c>
      <c r="B44" s="259" t="s">
        <v>2410</v>
      </c>
      <c r="C44" s="282">
        <f ca="1">ROUND(IF('数据-取费表'!B22&lt;=1,C40*F22*'数据-取费表'!B21/2,C40*(POWER((1+F22),'数据-取费表'!B21/2)-1)),4)</f>
        <v>1.4E-3</v>
      </c>
      <c r="D44" s="282"/>
      <c r="E44" s="282"/>
      <c r="F44" s="283"/>
      <c r="G44" s="3203"/>
    </row>
    <row r="45" spans="1:7" s="258" customFormat="1" ht="13.5" customHeight="1">
      <c r="A45" s="299" t="s">
        <v>2411</v>
      </c>
      <c r="B45" s="288" t="s">
        <v>2377</v>
      </c>
      <c r="C45" s="289">
        <f ca="1">C46</f>
        <v>1165</v>
      </c>
      <c r="D45" s="279">
        <f ca="1">C47</f>
        <v>4.0000000000000001E-3</v>
      </c>
      <c r="E45" s="280" t="s">
        <v>2403</v>
      </c>
      <c r="F45" s="290"/>
      <c r="G45" s="291" t="s">
        <v>2412</v>
      </c>
    </row>
    <row r="46" spans="1:7" s="258" customFormat="1" ht="13.5" customHeight="1">
      <c r="A46" s="954" t="s">
        <v>791</v>
      </c>
      <c r="B46" s="292" t="s">
        <v>2413</v>
      </c>
      <c r="C46" s="293">
        <f ca="1">ROUND((C33+C39)*F27,0)</f>
        <v>1165</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8042</v>
      </c>
      <c r="D49" s="276"/>
      <c r="E49" s="276"/>
      <c r="F49" s="308"/>
      <c r="G49" s="278" t="s">
        <v>2418</v>
      </c>
    </row>
    <row r="50" spans="1:7" s="302" customFormat="1" ht="24">
      <c r="A50" s="299" t="s">
        <v>2419</v>
      </c>
      <c r="B50" s="254" t="s">
        <v>2420</v>
      </c>
      <c r="C50" s="276"/>
      <c r="D50" s="276"/>
      <c r="E50" s="276"/>
      <c r="F50" s="308">
        <f>IF('数据-取费表'!B24=0,'数据-取费表'!N16,1)</f>
        <v>0.97399999999999998</v>
      </c>
      <c r="G50" s="291" t="s">
        <v>2421</v>
      </c>
    </row>
    <row r="51" spans="1:7" ht="16.5" customHeight="1">
      <c r="A51" s="299" t="s">
        <v>2422</v>
      </c>
      <c r="B51" s="254" t="s">
        <v>2423</v>
      </c>
      <c r="C51" s="276">
        <f ca="1">ROUND(C49*F50,0)</f>
        <v>7833</v>
      </c>
      <c r="D51" s="276"/>
      <c r="E51" s="276"/>
      <c r="F51" s="308"/>
      <c r="G51" s="278" t="s">
        <v>2424</v>
      </c>
    </row>
    <row r="52" spans="1:7" s="252" customFormat="1" ht="16.5" thickBot="1">
      <c r="A52" s="309" t="s">
        <v>2425</v>
      </c>
      <c r="B52" s="310"/>
      <c r="C52" s="311">
        <f ca="1">C31+C51</f>
        <v>17841</v>
      </c>
      <c r="D52" s="310"/>
      <c r="E52" s="310"/>
      <c r="F52" s="310"/>
      <c r="G52" s="312"/>
    </row>
    <row r="55" spans="1:7" ht="15">
      <c r="B55" s="314" t="s">
        <v>2426</v>
      </c>
      <c r="C55" s="315"/>
    </row>
    <row r="56" spans="1:7">
      <c r="B56" s="317" t="s">
        <v>1509</v>
      </c>
      <c r="C56" s="319">
        <f ca="1">1-C57</f>
        <v>0.56099999999999994</v>
      </c>
    </row>
    <row r="57" spans="1:7">
      <c r="B57" s="317" t="s">
        <v>1510</v>
      </c>
      <c r="C57" s="318">
        <f ca="1">ROUND(C51/C52,3)</f>
        <v>0.439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8</v>
      </c>
      <c r="H1" s="1285" t="str">
        <f>IF(ISERROR(FIND("住宅",B1)),"非住宅","住宅")</f>
        <v>非住宅</v>
      </c>
    </row>
    <row r="2" spans="1:8" s="244" customFormat="1" ht="18" customHeight="1">
      <c r="A2" s="245" t="s">
        <v>2326</v>
      </c>
      <c r="B2" s="246">
        <f ca="1">ROUND(IF(D2="——",C52/10000,C52/10000-E2),0)</f>
        <v>8809</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4308</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2862656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2862656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2862656</v>
      </c>
      <c r="D10" s="1035">
        <f ca="1">IF(B1="",'数据-汇总表'!E6,IF(INDIRECT("'数据-取费表'!c"&amp;$G$1)="住宅",INDIRECT("'数据-取费表'!s"&amp;$G$1),INDIRECT("'数据-取费表'!k"&amp;$G$1)+INDIRECT("'数据-取费表'!s"&amp;$G$1)))</f>
        <v>20447.539999999961</v>
      </c>
      <c r="E10" s="269">
        <f>'数据-取费表'!B28</f>
        <v>140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3680557</v>
      </c>
      <c r="D19" s="1039">
        <f ca="1">D9+D10</f>
        <v>20447.539999999961</v>
      </c>
      <c r="E19" s="255">
        <f>'数据-取费表'!B31</f>
        <v>180</v>
      </c>
      <c r="F19" s="275"/>
      <c r="G19" s="2555"/>
    </row>
    <row r="20" spans="1:7" s="258" customFormat="1" ht="13.5" customHeight="1">
      <c r="A20" s="299" t="s">
        <v>2438</v>
      </c>
      <c r="B20" s="254" t="s">
        <v>2439</v>
      </c>
      <c r="C20" s="276">
        <f ca="1">ROUND((C5+C19)*F20,0)</f>
        <v>130864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986833</v>
      </c>
      <c r="D22" s="279">
        <f ca="1">C26</f>
        <v>1.4E-3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427612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549787</v>
      </c>
      <c r="D24" s="282"/>
      <c r="E24" s="282"/>
      <c r="F24" s="283"/>
      <c r="G24" s="284" t="s">
        <v>2450</v>
      </c>
    </row>
    <row r="25" spans="1:7" s="258" customFormat="1" ht="24">
      <c r="A25" s="954" t="s">
        <v>2340</v>
      </c>
      <c r="B25" s="259" t="s">
        <v>2451</v>
      </c>
      <c r="C25" s="1384">
        <f ca="1">ROUND(IF('数据-取费表'!B22&lt;=1,C20*F22*'数据-取费表'!B22/2,C20*(POWER((1+F22),'数据-取费表'!B22/2)-1)),0)</f>
        <v>9434</v>
      </c>
      <c r="D25" s="282"/>
      <c r="E25" s="285"/>
      <c r="F25" s="283"/>
      <c r="G25" s="286" t="s">
        <v>2452</v>
      </c>
    </row>
    <row r="26" spans="1:7" s="258" customFormat="1">
      <c r="A26" s="954" t="s">
        <v>795</v>
      </c>
      <c r="B26" s="259" t="s">
        <v>2375</v>
      </c>
      <c r="C26" s="282">
        <f ca="1">ROUND(IF('数据-取费表'!B22&lt;=1,F21*F22*'数据-取费表'!B22/2,F21*(POWER((1+F22),'数据-取费表'!B22/2)-1)),4)</f>
        <v>1.4E-3</v>
      </c>
      <c r="D26" s="282"/>
      <c r="E26" s="285"/>
      <c r="F26" s="283"/>
      <c r="G26" s="287"/>
    </row>
    <row r="27" spans="1:7" s="258" customFormat="1" ht="24.75">
      <c r="A27" s="299" t="s">
        <v>2376</v>
      </c>
      <c r="B27" s="288" t="s">
        <v>2377</v>
      </c>
      <c r="C27" s="289">
        <f ca="1">C28</f>
        <v>1334815</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1334815</v>
      </c>
      <c r="D28" s="279"/>
      <c r="E28" s="280"/>
      <c r="F28" s="290"/>
      <c r="G28" s="291"/>
    </row>
    <row r="29" spans="1:7" s="258" customFormat="1" ht="13.5" customHeight="1">
      <c r="A29" s="954"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9764165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57099756</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51118850</v>
      </c>
      <c r="D34" s="261"/>
      <c r="E34" s="264"/>
      <c r="F34" s="301"/>
      <c r="G34" s="263"/>
    </row>
    <row r="35" spans="1:7" ht="13.5" customHeight="1">
      <c r="A35" s="954" t="s">
        <v>796</v>
      </c>
      <c r="B35" s="259" t="s">
        <v>2391</v>
      </c>
      <c r="C35" s="264">
        <f ca="1">ROUND(C34*F35,0)</f>
        <v>1533566</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3680557</v>
      </c>
      <c r="D37" s="261">
        <f ca="1">D19</f>
        <v>20447.539999999961</v>
      </c>
      <c r="E37" s="293">
        <f>'数据-取费表'!B35</f>
        <v>180</v>
      </c>
      <c r="F37" s="303"/>
      <c r="G37" s="305"/>
    </row>
    <row r="38" spans="1:7" ht="13.5" customHeight="1">
      <c r="A38" s="954" t="s">
        <v>799</v>
      </c>
      <c r="B38" s="259" t="s">
        <v>2397</v>
      </c>
      <c r="C38" s="264">
        <f ca="1">ROUND(C34*F38,0)</f>
        <v>766783</v>
      </c>
      <c r="D38" s="264"/>
      <c r="E38" s="264"/>
      <c r="F38" s="303">
        <f>'数据-取费表'!B36</f>
        <v>1.4999999999999999E-2</v>
      </c>
      <c r="G38" s="263" t="s">
        <v>2392</v>
      </c>
    </row>
    <row r="39" spans="1:7" s="258" customFormat="1" ht="13.5" customHeight="1">
      <c r="A39" s="299" t="s">
        <v>2398</v>
      </c>
      <c r="B39" s="254" t="s">
        <v>2399</v>
      </c>
      <c r="C39" s="276">
        <f ca="1">ROUND(C33*F20,0)</f>
        <v>1141995</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4198620</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4116294</v>
      </c>
      <c r="D42" s="282"/>
      <c r="E42" s="282"/>
      <c r="F42" s="283"/>
      <c r="G42" s="3201" t="s">
        <v>2455</v>
      </c>
    </row>
    <row r="43" spans="1:7" ht="13.5" customHeight="1">
      <c r="A43" s="954" t="s">
        <v>792</v>
      </c>
      <c r="B43" s="259" t="s">
        <v>2409</v>
      </c>
      <c r="C43" s="282">
        <f ca="1">ROUND(IF('数据-取费表'!B22&lt;=1,C39*F22*'数据-取费表'!B20/2,C39*(POWER((1+F22),'数据-取费表'!B20/2)-1)),0)</f>
        <v>82326</v>
      </c>
      <c r="D43" s="282"/>
      <c r="E43" s="282"/>
      <c r="F43" s="283"/>
      <c r="G43" s="3202"/>
    </row>
    <row r="44" spans="1:7" ht="13.5" customHeight="1">
      <c r="A44" s="954" t="s">
        <v>793</v>
      </c>
      <c r="B44" s="259" t="s">
        <v>2410</v>
      </c>
      <c r="C44" s="282">
        <f ca="1">ROUND(IF('数据-取费表'!B22&lt;=1,C40*F22*'数据-取费表'!B20/2,C40*(POWER((1+F22),'数据-取费表'!B20/2)-1)),4)</f>
        <v>1.4E-3</v>
      </c>
      <c r="D44" s="282"/>
      <c r="E44" s="282"/>
      <c r="F44" s="283"/>
      <c r="G44" s="3203"/>
    </row>
    <row r="45" spans="1:7" s="258" customFormat="1" ht="13.5" customHeight="1">
      <c r="A45" s="299" t="s">
        <v>2411</v>
      </c>
      <c r="B45" s="288" t="s">
        <v>2377</v>
      </c>
      <c r="C45" s="289">
        <f ca="1">C46</f>
        <v>11648350</v>
      </c>
      <c r="D45" s="279">
        <f ca="1">C47</f>
        <v>4.0000000000000001E-3</v>
      </c>
      <c r="E45" s="280" t="s">
        <v>2403</v>
      </c>
      <c r="F45" s="290"/>
      <c r="G45" s="291" t="s">
        <v>2412</v>
      </c>
    </row>
    <row r="46" spans="1:7" s="258" customFormat="1" ht="13.5" customHeight="1">
      <c r="A46" s="954" t="s">
        <v>791</v>
      </c>
      <c r="B46" s="292" t="s">
        <v>2413</v>
      </c>
      <c r="C46" s="293">
        <f ca="1">ROUND((C33+C39)*F27,0)</f>
        <v>11648350</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80417585</v>
      </c>
      <c r="D49" s="276"/>
      <c r="E49" s="276"/>
      <c r="F49" s="308"/>
      <c r="G49" s="278" t="s">
        <v>2418</v>
      </c>
    </row>
    <row r="50" spans="1:7" s="302" customFormat="1">
      <c r="A50" s="299" t="s">
        <v>2419</v>
      </c>
      <c r="B50" s="254" t="s">
        <v>2420</v>
      </c>
      <c r="C50" s="276"/>
      <c r="D50" s="276"/>
      <c r="E50" s="276"/>
      <c r="F50" s="308">
        <f>IF('数据-取费表'!B24=0,'数据-取费表'!N16,1)</f>
        <v>0.97399999999999998</v>
      </c>
      <c r="G50" s="291"/>
    </row>
    <row r="51" spans="1:7" ht="16.5" customHeight="1">
      <c r="A51" s="299" t="s">
        <v>2422</v>
      </c>
      <c r="B51" s="254" t="s">
        <v>2457</v>
      </c>
      <c r="C51" s="276">
        <f ca="1">ROUND(C49*F50,0)</f>
        <v>78326728</v>
      </c>
      <c r="D51" s="276"/>
      <c r="E51" s="276"/>
      <c r="F51" s="308"/>
      <c r="G51" s="278" t="s">
        <v>2424</v>
      </c>
    </row>
    <row r="52" spans="1:7" s="252" customFormat="1" ht="16.5" thickBot="1">
      <c r="A52" s="309" t="s">
        <v>2425</v>
      </c>
      <c r="B52" s="310"/>
      <c r="C52" s="311">
        <f ca="1">C31+C51</f>
        <v>88090893</v>
      </c>
      <c r="D52" s="310"/>
      <c r="E52" s="310"/>
      <c r="F52" s="310"/>
      <c r="G52" s="312"/>
    </row>
    <row r="55" spans="1:7" ht="15">
      <c r="B55" s="314" t="s">
        <v>2426</v>
      </c>
      <c r="C55" s="315"/>
    </row>
    <row r="56" spans="1:7">
      <c r="B56" s="317" t="s">
        <v>1509</v>
      </c>
      <c r="C56" s="319">
        <f ca="1">1-C57</f>
        <v>0.11099999999999999</v>
      </c>
    </row>
    <row r="57" spans="1:7">
      <c r="B57" s="317" t="s">
        <v>1510</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8</v>
      </c>
    </row>
    <row r="2" spans="1:33" ht="18" customHeight="1">
      <c r="A2" s="245" t="s">
        <v>2326</v>
      </c>
      <c r="B2" s="248">
        <f ca="1">C32</f>
        <v>-340</v>
      </c>
      <c r="C2" s="320" t="s">
        <v>2459</v>
      </c>
      <c r="D2" s="320"/>
      <c r="E2" s="320"/>
      <c r="F2" s="320"/>
      <c r="G2" s="320"/>
      <c r="H2" s="320"/>
      <c r="I2" s="320"/>
      <c r="J2" s="320"/>
      <c r="K2" s="320"/>
    </row>
    <row r="3" spans="1:33" ht="18" customHeight="1" thickBot="1">
      <c r="A3" s="247" t="s">
        <v>2328</v>
      </c>
      <c r="B3" s="248">
        <f ca="1">ROUND(B2*10000/IF(C1="",'数据-汇总表'!E3,INDIRECT("'数据-取费表'!K"&amp;$K$1)),0)</f>
        <v>-166</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0.03</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20447.539999999961</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20447.539999999961</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286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286</v>
      </c>
      <c r="D20" s="1036">
        <f ca="1">IF(C1="",'数据-汇总表'!E6,IF(INDIRECT("'数据-取费表'!c"&amp;$K$1)="住宅",INDIRECT("'数据-取费表'!s"&amp;$K$1),INDIRECT("'数据-取费表'!k"&amp;$K$1)+INDIRECT("'数据-取费表'!s"&amp;$K$1)))</f>
        <v>20447.539999999961</v>
      </c>
      <c r="E20" s="24">
        <f>'数据-取费表'!B28</f>
        <v>140</v>
      </c>
      <c r="F20" s="979"/>
      <c r="G20" s="15"/>
      <c r="H20" s="984"/>
      <c r="I20" s="984"/>
      <c r="J20" s="984"/>
      <c r="K20" s="985"/>
    </row>
    <row r="21" spans="1:33" s="978" customFormat="1" ht="13.5" customHeight="1">
      <c r="A21" s="964" t="s">
        <v>802</v>
      </c>
      <c r="B21" s="988" t="s">
        <v>2495</v>
      </c>
      <c r="C21" s="989">
        <f ca="1">C16+C17+C18</f>
        <v>286</v>
      </c>
      <c r="D21" s="990"/>
      <c r="E21" s="325"/>
      <c r="F21" s="325"/>
      <c r="G21" s="140" t="s">
        <v>2496</v>
      </c>
      <c r="H21" s="982"/>
      <c r="I21" s="982"/>
      <c r="J21" s="982"/>
      <c r="K21" s="983"/>
    </row>
    <row r="22" spans="1:33" s="978" customFormat="1" ht="13.5" customHeight="1">
      <c r="A22" s="964" t="s">
        <v>2468</v>
      </c>
      <c r="B22" s="988" t="s">
        <v>2497</v>
      </c>
      <c r="C22" s="989">
        <f ca="1">ROUND(C21*F22,0)</f>
        <v>6</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58</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58</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-340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3</v>
      </c>
      <c r="C1" s="242"/>
      <c r="D1" s="242"/>
      <c r="E1" s="242"/>
      <c r="F1" s="242"/>
      <c r="G1" s="1382">
        <f>MATCH(B1,'数据-取费表'!A6:A16,0)+5</f>
        <v>6</v>
      </c>
    </row>
    <row r="2" spans="1:9" s="244" customFormat="1" ht="18" customHeight="1">
      <c r="A2" s="245" t="s">
        <v>1390</v>
      </c>
      <c r="B2" s="246">
        <f ca="1">IF(D2="——",C52,C52-E2)</f>
        <v>11788</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f ca="1">ROUND(B2*10000/(IF(B1="",'数据-汇总表'!E3,INDIRECT("'数据-取费表'!k"&amp;$G$1))),0)</f>
        <v>8994</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4298.6131850000002</v>
      </c>
      <c r="D5" s="255" t="s">
        <v>2333</v>
      </c>
      <c r="E5" s="256" t="s">
        <v>2334</v>
      </c>
      <c r="F5" s="256" t="s">
        <v>2335</v>
      </c>
      <c r="G5" s="257"/>
    </row>
    <row r="6" spans="1:9" s="258" customFormat="1" ht="13.5" customHeight="1">
      <c r="A6" s="952" t="s">
        <v>791</v>
      </c>
      <c r="B6" s="259" t="s">
        <v>2337</v>
      </c>
      <c r="C6" s="260">
        <f>面积表!M24</f>
        <v>4171.6131850000002</v>
      </c>
      <c r="D6" s="261"/>
      <c r="E6" s="262"/>
      <c r="F6" s="262"/>
      <c r="G6" s="263"/>
    </row>
    <row r="7" spans="1:9" s="258" customFormat="1" ht="13.5" customHeight="1">
      <c r="A7" s="952" t="s">
        <v>792</v>
      </c>
      <c r="B7" s="259" t="s">
        <v>2339</v>
      </c>
      <c r="C7" s="264">
        <f>ROUND(C6*F7,0)</f>
        <v>127</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c r="H9" s="1393"/>
      <c r="I9" s="2557" t="s">
        <v>2343</v>
      </c>
    </row>
    <row r="10" spans="1:9" s="258" customFormat="1" ht="13.5" customHeight="1">
      <c r="A10" s="953" t="s">
        <v>801</v>
      </c>
      <c r="B10" s="268" t="s">
        <v>2344</v>
      </c>
      <c r="C10" s="269">
        <f ca="1">ROUND(D10*E10/10000,0)</f>
        <v>183</v>
      </c>
      <c r="D10" s="1035">
        <f ca="1">IF(B1="",'数据-汇总表'!E6,IF(INDIRECT("'数据-取费表'!c"&amp;$G$1)="住宅",INDIRECT("'数据-取费表'!s"&amp;$G$1),INDIRECT("'数据-取费表'!k"&amp;$G$1)+INDIRECT("'数据-取费表'!s"&amp;$G$1)))</f>
        <v>13106.659999999993</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236</v>
      </c>
      <c r="D19" s="1039">
        <f ca="1">D9+D10</f>
        <v>13106.659999999993</v>
      </c>
      <c r="E19" s="255">
        <f>'数据-取费表'!B31</f>
        <v>180</v>
      </c>
      <c r="F19" s="275"/>
      <c r="G19" s="2555"/>
    </row>
    <row r="20" spans="1:7" s="258" customFormat="1" ht="13.5" customHeight="1">
      <c r="A20" s="299" t="s">
        <v>2357</v>
      </c>
      <c r="B20" s="254" t="s">
        <v>2358</v>
      </c>
      <c r="C20" s="276">
        <f ca="1">ROUND((C5+C19)*F20,0)</f>
        <v>91</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684</v>
      </c>
      <c r="D22" s="279">
        <f ca="1">C26</f>
        <v>1.4E-3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642</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35</v>
      </c>
      <c r="D24" s="282"/>
      <c r="E24" s="282"/>
      <c r="F24" s="283"/>
      <c r="G24" s="284" t="s">
        <v>2371</v>
      </c>
    </row>
    <row r="25" spans="1:7" s="258" customFormat="1" ht="24">
      <c r="A25" s="954" t="s">
        <v>793</v>
      </c>
      <c r="B25" s="259" t="s">
        <v>2373</v>
      </c>
      <c r="C25" s="1358">
        <f ca="1">ROUND(IF('数据-取费表'!B22&lt;=1,C20*F22*'数据-取费表'!B23/2,C20*(POWER((1+F22),'数据-取费表'!B23/2)-1)),0)</f>
        <v>7</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925</v>
      </c>
      <c r="D27" s="279">
        <f ca="1">C29</f>
        <v>4.0000000000000001E-3</v>
      </c>
      <c r="E27" s="280" t="s">
        <v>2362</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925</v>
      </c>
      <c r="D28" s="279"/>
      <c r="E28" s="280"/>
      <c r="F28" s="290"/>
      <c r="G28" s="291"/>
    </row>
    <row r="29" spans="1:7" s="258" customFormat="1" ht="13.5" customHeight="1">
      <c r="A29" s="954"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f ca="1">ROUND((C5+C19+C20+C22+C27)/(1-C21-D22-D27-C30),0)</f>
        <v>6767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3660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3277</v>
      </c>
      <c r="D34" s="261"/>
      <c r="E34" s="264"/>
      <c r="F34" s="301">
        <f ca="1">IF('数据-取费表'!B24=0,1,IF(B1="",'数据-取费表'!N16,INDIRECT("'数据-取费表'!n"&amp;$G$1)))</f>
        <v>1</v>
      </c>
      <c r="G34" s="263" t="s">
        <v>2390</v>
      </c>
    </row>
    <row r="35" spans="1:7" ht="13.5" customHeight="1">
      <c r="A35" s="954" t="s">
        <v>796</v>
      </c>
      <c r="B35" s="259" t="s">
        <v>2391</v>
      </c>
      <c r="C35" s="264">
        <f ca="1">ROUND(C34*F35,0)</f>
        <v>98</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236</v>
      </c>
      <c r="D37" s="261">
        <f ca="1">D19</f>
        <v>13106.659999999993</v>
      </c>
      <c r="E37" s="293">
        <f>'数据-取费表'!B35</f>
        <v>180</v>
      </c>
      <c r="F37" s="303"/>
      <c r="G37" s="305" t="s">
        <v>2396</v>
      </c>
    </row>
    <row r="38" spans="1:7" ht="13.5" customHeight="1">
      <c r="A38" s="954" t="s">
        <v>799</v>
      </c>
      <c r="B38" s="259" t="s">
        <v>2397</v>
      </c>
      <c r="C38" s="264">
        <f ca="1">ROUND(C34*F38,0)</f>
        <v>49</v>
      </c>
      <c r="D38" s="264"/>
      <c r="E38" s="264"/>
      <c r="F38" s="303">
        <f>'数据-取费表'!B36</f>
        <v>1.4999999999999999E-2</v>
      </c>
      <c r="G38" s="263" t="s">
        <v>2392</v>
      </c>
    </row>
    <row r="39" spans="1:7" s="258" customFormat="1" ht="13.5" customHeight="1">
      <c r="A39" s="299" t="s">
        <v>2355</v>
      </c>
      <c r="B39" s="254" t="s">
        <v>2358</v>
      </c>
      <c r="C39" s="276">
        <f ca="1">ROUND(C33*F20,0)</f>
        <v>73</v>
      </c>
      <c r="D39" s="276"/>
      <c r="E39" s="276"/>
      <c r="F39" s="277"/>
      <c r="G39" s="278" t="s">
        <v>2400</v>
      </c>
    </row>
    <row r="40" spans="1:7" s="258" customFormat="1" ht="13.5" customHeight="1">
      <c r="A40" s="299" t="s">
        <v>2357</v>
      </c>
      <c r="B40" s="254" t="s">
        <v>2361</v>
      </c>
      <c r="C40" s="1731">
        <f>F21</f>
        <v>0.02</v>
      </c>
      <c r="D40" s="280" t="s">
        <v>2403</v>
      </c>
      <c r="E40" s="276"/>
      <c r="F40" s="277"/>
      <c r="G40" s="278" t="s">
        <v>2404</v>
      </c>
    </row>
    <row r="41" spans="1:7" s="258" customFormat="1" ht="13.5" customHeight="1">
      <c r="A41" s="299" t="s">
        <v>2360</v>
      </c>
      <c r="B41" s="254" t="s">
        <v>2365</v>
      </c>
      <c r="C41" s="276">
        <f ca="1">ROUND(SUM(C42:C43),0)</f>
        <v>269</v>
      </c>
      <c r="D41" s="279">
        <f ca="1">C44</f>
        <v>1.4E-3</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264</v>
      </c>
      <c r="D42" s="282"/>
      <c r="E42" s="282"/>
      <c r="F42" s="283"/>
      <c r="G42" s="3201" t="s">
        <v>2408</v>
      </c>
    </row>
    <row r="43" spans="1:7" ht="13.5" customHeight="1">
      <c r="A43" s="954" t="s">
        <v>792</v>
      </c>
      <c r="B43" s="259" t="s">
        <v>2370</v>
      </c>
      <c r="C43" s="282">
        <f ca="1">ROUND(IF('数据-取费表'!B22&lt;=1,C39*F22*'数据-取费表'!B21/2,C39*(POWER((1+F22),'数据-取费表'!B21/2)-1)),0)</f>
        <v>5</v>
      </c>
      <c r="D43" s="282"/>
      <c r="E43" s="282"/>
      <c r="F43" s="283"/>
      <c r="G43" s="3202"/>
    </row>
    <row r="44" spans="1:7" ht="13.5" customHeight="1">
      <c r="A44" s="954" t="s">
        <v>793</v>
      </c>
      <c r="B44" s="259" t="s">
        <v>2373</v>
      </c>
      <c r="C44" s="282">
        <f ca="1">ROUND(IF('数据-取费表'!B22&lt;=1,C40*F22*'数据-取费表'!B21/2,C40*(POWER((1+F22),'数据-取费表'!B21/2)-1)),4)</f>
        <v>1.4E-3</v>
      </c>
      <c r="D44" s="282"/>
      <c r="E44" s="282"/>
      <c r="F44" s="283"/>
      <c r="G44" s="3203"/>
    </row>
    <row r="45" spans="1:7" s="258" customFormat="1" ht="13.5" customHeight="1">
      <c r="A45" s="299" t="s">
        <v>2364</v>
      </c>
      <c r="B45" s="288" t="s">
        <v>2377</v>
      </c>
      <c r="C45" s="289">
        <f ca="1">C46</f>
        <v>747</v>
      </c>
      <c r="D45" s="279">
        <f ca="1">C47</f>
        <v>4.0000000000000001E-3</v>
      </c>
      <c r="E45" s="280" t="s">
        <v>2403</v>
      </c>
      <c r="F45" s="290"/>
      <c r="G45" s="291" t="s">
        <v>2412</v>
      </c>
    </row>
    <row r="46" spans="1:7" s="258" customFormat="1" ht="13.5" customHeight="1">
      <c r="A46" s="954" t="s">
        <v>791</v>
      </c>
      <c r="B46" s="292" t="s">
        <v>2413</v>
      </c>
      <c r="C46" s="293">
        <f ca="1">ROUND((C33+C39)*F27,0)</f>
        <v>747</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5155</v>
      </c>
      <c r="D49" s="276"/>
      <c r="E49" s="276"/>
      <c r="F49" s="308"/>
      <c r="G49" s="278" t="s">
        <v>2418</v>
      </c>
    </row>
    <row r="50" spans="1:7" s="302" customFormat="1" ht="24">
      <c r="A50" s="299" t="s">
        <v>2419</v>
      </c>
      <c r="B50" s="254" t="s">
        <v>2420</v>
      </c>
      <c r="C50" s="276"/>
      <c r="D50" s="276"/>
      <c r="E50" s="276"/>
      <c r="F50" s="308">
        <f>IF('数据-取费表'!B24=0,'数据-取费表'!N16,1)</f>
        <v>0.97399999999999998</v>
      </c>
      <c r="G50" s="291" t="s">
        <v>2421</v>
      </c>
    </row>
    <row r="51" spans="1:7" ht="16.5" customHeight="1">
      <c r="A51" s="299" t="s">
        <v>2422</v>
      </c>
      <c r="B51" s="254" t="s">
        <v>2423</v>
      </c>
      <c r="C51" s="276">
        <f ca="1">ROUND(C49*F50,0)</f>
        <v>5021</v>
      </c>
      <c r="D51" s="276"/>
      <c r="E51" s="276"/>
      <c r="F51" s="308"/>
      <c r="G51" s="278" t="s">
        <v>2424</v>
      </c>
    </row>
    <row r="52" spans="1:7" s="252" customFormat="1" ht="16.5" thickBot="1">
      <c r="A52" s="309" t="s">
        <v>2425</v>
      </c>
      <c r="B52" s="310"/>
      <c r="C52" s="311">
        <f ca="1">C31+C51</f>
        <v>11788</v>
      </c>
      <c r="D52" s="310"/>
      <c r="E52" s="310"/>
      <c r="F52" s="310"/>
      <c r="G52" s="312"/>
    </row>
    <row r="55" spans="1:7" ht="15">
      <c r="B55" s="314" t="s">
        <v>2426</v>
      </c>
      <c r="C55" s="315"/>
    </row>
    <row r="56" spans="1:7">
      <c r="B56" s="317" t="s">
        <v>1509</v>
      </c>
      <c r="C56" s="319">
        <f ca="1">1-C57</f>
        <v>0.57400000000000007</v>
      </c>
    </row>
    <row r="57" spans="1:7">
      <c r="B57" s="317" t="s">
        <v>1510</v>
      </c>
      <c r="C57" s="318">
        <f ca="1">ROUND(C51/C52,3)</f>
        <v>0.42599999999999999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7</v>
      </c>
      <c r="C1" s="242"/>
      <c r="D1" s="242"/>
      <c r="E1" s="242"/>
      <c r="F1" s="242"/>
      <c r="G1" s="1382">
        <f>MATCH(B1,'数据-取费表'!A6:A16,0)+5</f>
        <v>7</v>
      </c>
    </row>
    <row r="2" spans="1:9" s="244" customFormat="1" ht="18" customHeight="1">
      <c r="A2" s="245" t="s">
        <v>1390</v>
      </c>
      <c r="B2" s="246">
        <f ca="1">IF(D2="——",C52,C52-E2)</f>
        <v>6603</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f ca="1">ROUND(B2*10000/(IF(B1="",'数据-汇总表'!E3,INDIRECT("'数据-取费表'!k"&amp;$G$1))),0)</f>
        <v>8995</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2407.469212</v>
      </c>
      <c r="D5" s="255" t="s">
        <v>2333</v>
      </c>
      <c r="E5" s="256" t="s">
        <v>2334</v>
      </c>
      <c r="F5" s="256" t="s">
        <v>2335</v>
      </c>
      <c r="G5" s="257"/>
    </row>
    <row r="6" spans="1:9" s="258" customFormat="1" ht="13.5" customHeight="1">
      <c r="A6" s="952" t="s">
        <v>791</v>
      </c>
      <c r="B6" s="259" t="s">
        <v>2337</v>
      </c>
      <c r="C6" s="260">
        <f>面积表!M25</f>
        <v>2336.469212</v>
      </c>
      <c r="D6" s="261"/>
      <c r="E6" s="262"/>
      <c r="F6" s="262"/>
      <c r="G6" s="263"/>
    </row>
    <row r="7" spans="1:9" s="258" customFormat="1" ht="13.5" customHeight="1">
      <c r="A7" s="952" t="s">
        <v>792</v>
      </c>
      <c r="B7" s="259" t="s">
        <v>2339</v>
      </c>
      <c r="C7" s="264">
        <f>ROUND(C6*F7,0)</f>
        <v>71</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c r="H9" s="1393"/>
      <c r="I9" s="2557" t="s">
        <v>2343</v>
      </c>
    </row>
    <row r="10" spans="1:9" s="258" customFormat="1" ht="13.5" customHeight="1">
      <c r="A10" s="953" t="s">
        <v>801</v>
      </c>
      <c r="B10" s="268" t="s">
        <v>2344</v>
      </c>
      <c r="C10" s="269">
        <f ca="1">ROUND(D10*E10/10000,0)</f>
        <v>103</v>
      </c>
      <c r="D10" s="1035">
        <f ca="1">IF(B1="",'数据-汇总表'!E6,IF(INDIRECT("'数据-取费表'!c"&amp;$G$1)="住宅",INDIRECT("'数据-取费表'!s"&amp;$G$1),INDIRECT("'数据-取费表'!k"&amp;$G$1)+INDIRECT("'数据-取费表'!s"&amp;$G$1)))</f>
        <v>7340.8800000000037</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132</v>
      </c>
      <c r="D19" s="1039">
        <f ca="1">D9+D10</f>
        <v>7340.8800000000037</v>
      </c>
      <c r="E19" s="255">
        <f>'数据-取费表'!B31</f>
        <v>180</v>
      </c>
      <c r="F19" s="275"/>
      <c r="G19" s="2555"/>
    </row>
    <row r="20" spans="1:7" s="258" customFormat="1" ht="13.5" customHeight="1">
      <c r="A20" s="299" t="s">
        <v>2357</v>
      </c>
      <c r="B20" s="254" t="s">
        <v>2358</v>
      </c>
      <c r="C20" s="276">
        <f ca="1">ROUND((C5+C19)*F20,0)</f>
        <v>51</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384</v>
      </c>
      <c r="D22" s="279">
        <f ca="1">C26</f>
        <v>1.4E-3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360</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20</v>
      </c>
      <c r="D24" s="282"/>
      <c r="E24" s="282"/>
      <c r="F24" s="283"/>
      <c r="G24" s="284" t="s">
        <v>2371</v>
      </c>
    </row>
    <row r="25" spans="1:7" s="258" customFormat="1" ht="24">
      <c r="A25" s="954" t="s">
        <v>793</v>
      </c>
      <c r="B25" s="259" t="s">
        <v>2373</v>
      </c>
      <c r="C25" s="1358">
        <f ca="1">ROUND(IF('数据-取费表'!B22&lt;=1,C20*F22*'数据-取费表'!B23/2,C20*(POWER((1+F22),'数据-取费表'!B23/2)-1)),0)</f>
        <v>4</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518</v>
      </c>
      <c r="D27" s="279">
        <f ca="1">C29</f>
        <v>4.0000000000000001E-3</v>
      </c>
      <c r="E27" s="280" t="s">
        <v>2362</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518</v>
      </c>
      <c r="D28" s="279"/>
      <c r="E28" s="280"/>
      <c r="F28" s="290"/>
      <c r="G28" s="291"/>
    </row>
    <row r="29" spans="1:7" s="258" customFormat="1" ht="13.5" customHeight="1">
      <c r="A29" s="954"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f ca="1">ROUND((C5+C19+C20+C22+C27)/(1-C21-D22-D27-C30),0)</f>
        <v>3791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2050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1835</v>
      </c>
      <c r="D34" s="261"/>
      <c r="E34" s="264"/>
      <c r="F34" s="301">
        <f ca="1">IF('数据-取费表'!B24=0,1,IF(B1="",'数据-取费表'!N16,INDIRECT("'数据-取费表'!n"&amp;$G$1)))</f>
        <v>1</v>
      </c>
      <c r="G34" s="263" t="s">
        <v>2390</v>
      </c>
    </row>
    <row r="35" spans="1:7" ht="13.5" customHeight="1">
      <c r="A35" s="954" t="s">
        <v>796</v>
      </c>
      <c r="B35" s="259" t="s">
        <v>2391</v>
      </c>
      <c r="C35" s="264">
        <f ca="1">ROUND(C34*F35,0)</f>
        <v>55</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132</v>
      </c>
      <c r="D37" s="261">
        <f ca="1">D19</f>
        <v>7340.8800000000037</v>
      </c>
      <c r="E37" s="293">
        <f>'数据-取费表'!B35</f>
        <v>180</v>
      </c>
      <c r="F37" s="303"/>
      <c r="G37" s="305" t="s">
        <v>2396</v>
      </c>
    </row>
    <row r="38" spans="1:7" ht="13.5" customHeight="1">
      <c r="A38" s="954" t="s">
        <v>799</v>
      </c>
      <c r="B38" s="259" t="s">
        <v>2397</v>
      </c>
      <c r="C38" s="264">
        <f ca="1">ROUND(C34*F38,0)</f>
        <v>28</v>
      </c>
      <c r="D38" s="264"/>
      <c r="E38" s="264"/>
      <c r="F38" s="303">
        <f>'数据-取费表'!B36</f>
        <v>1.4999999999999999E-2</v>
      </c>
      <c r="G38" s="263" t="s">
        <v>2392</v>
      </c>
    </row>
    <row r="39" spans="1:7" s="258" customFormat="1" ht="13.5" customHeight="1">
      <c r="A39" s="299" t="s">
        <v>2355</v>
      </c>
      <c r="B39" s="254" t="s">
        <v>2358</v>
      </c>
      <c r="C39" s="276">
        <f ca="1">ROUND(C33*F20,0)</f>
        <v>41</v>
      </c>
      <c r="D39" s="276"/>
      <c r="E39" s="276"/>
      <c r="F39" s="277"/>
      <c r="G39" s="278" t="s">
        <v>2400</v>
      </c>
    </row>
    <row r="40" spans="1:7" s="258" customFormat="1" ht="13.5" customHeight="1">
      <c r="A40" s="299" t="s">
        <v>2357</v>
      </c>
      <c r="B40" s="254" t="s">
        <v>2361</v>
      </c>
      <c r="C40" s="1731">
        <f>F21</f>
        <v>0.02</v>
      </c>
      <c r="D40" s="280" t="s">
        <v>2403</v>
      </c>
      <c r="E40" s="276"/>
      <c r="F40" s="277"/>
      <c r="G40" s="278" t="s">
        <v>2404</v>
      </c>
    </row>
    <row r="41" spans="1:7" s="258" customFormat="1" ht="13.5" customHeight="1">
      <c r="A41" s="299" t="s">
        <v>2360</v>
      </c>
      <c r="B41" s="254" t="s">
        <v>2365</v>
      </c>
      <c r="C41" s="276">
        <f ca="1">ROUND(SUM(C42:C43),0)</f>
        <v>151</v>
      </c>
      <c r="D41" s="279">
        <f ca="1">C44</f>
        <v>1.4E-3</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148</v>
      </c>
      <c r="D42" s="282"/>
      <c r="E42" s="282"/>
      <c r="F42" s="283"/>
      <c r="G42" s="3201" t="s">
        <v>2408</v>
      </c>
    </row>
    <row r="43" spans="1:7" ht="13.5" customHeight="1">
      <c r="A43" s="954" t="s">
        <v>792</v>
      </c>
      <c r="B43" s="259" t="s">
        <v>2370</v>
      </c>
      <c r="C43" s="282">
        <f ca="1">ROUND(IF('数据-取费表'!B22&lt;=1,C39*F22*'数据-取费表'!B21/2,C39*(POWER((1+F22),'数据-取费表'!B21/2)-1)),0)</f>
        <v>3</v>
      </c>
      <c r="D43" s="282"/>
      <c r="E43" s="282"/>
      <c r="F43" s="283"/>
      <c r="G43" s="3202"/>
    </row>
    <row r="44" spans="1:7" ht="13.5" customHeight="1">
      <c r="A44" s="954" t="s">
        <v>793</v>
      </c>
      <c r="B44" s="259" t="s">
        <v>2373</v>
      </c>
      <c r="C44" s="282">
        <f ca="1">ROUND(IF('数据-取费表'!B22&lt;=1,C40*F22*'数据-取费表'!B21/2,C40*(POWER((1+F22),'数据-取费表'!B21/2)-1)),4)</f>
        <v>1.4E-3</v>
      </c>
      <c r="D44" s="282"/>
      <c r="E44" s="282"/>
      <c r="F44" s="283"/>
      <c r="G44" s="3203"/>
    </row>
    <row r="45" spans="1:7" s="258" customFormat="1" ht="13.5" customHeight="1">
      <c r="A45" s="299" t="s">
        <v>2364</v>
      </c>
      <c r="B45" s="288" t="s">
        <v>2377</v>
      </c>
      <c r="C45" s="289">
        <f ca="1">C46</f>
        <v>418</v>
      </c>
      <c r="D45" s="279">
        <f ca="1">C47</f>
        <v>4.0000000000000001E-3</v>
      </c>
      <c r="E45" s="280" t="s">
        <v>2403</v>
      </c>
      <c r="F45" s="290"/>
      <c r="G45" s="291" t="s">
        <v>2412</v>
      </c>
    </row>
    <row r="46" spans="1:7" s="258" customFormat="1" ht="13.5" customHeight="1">
      <c r="A46" s="954" t="s">
        <v>791</v>
      </c>
      <c r="B46" s="292" t="s">
        <v>2413</v>
      </c>
      <c r="C46" s="293">
        <f ca="1">ROUND((C33+C39)*F27,0)</f>
        <v>418</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2887</v>
      </c>
      <c r="D49" s="276"/>
      <c r="E49" s="276"/>
      <c r="F49" s="308"/>
      <c r="G49" s="278" t="s">
        <v>2418</v>
      </c>
    </row>
    <row r="50" spans="1:7" s="302" customFormat="1" ht="24">
      <c r="A50" s="299" t="s">
        <v>2419</v>
      </c>
      <c r="B50" s="254" t="s">
        <v>2420</v>
      </c>
      <c r="C50" s="276"/>
      <c r="D50" s="276"/>
      <c r="E50" s="276"/>
      <c r="F50" s="308">
        <f>IF('数据-取费表'!B24=0,'数据-取费表'!N16,1)</f>
        <v>0.97399999999999998</v>
      </c>
      <c r="G50" s="291" t="s">
        <v>2421</v>
      </c>
    </row>
    <row r="51" spans="1:7" ht="16.5" customHeight="1">
      <c r="A51" s="299" t="s">
        <v>2422</v>
      </c>
      <c r="B51" s="254" t="s">
        <v>2423</v>
      </c>
      <c r="C51" s="276">
        <f ca="1">ROUND(C49*F50,0)</f>
        <v>2812</v>
      </c>
      <c r="D51" s="276"/>
      <c r="E51" s="276"/>
      <c r="F51" s="308"/>
      <c r="G51" s="278" t="s">
        <v>2424</v>
      </c>
    </row>
    <row r="52" spans="1:7" s="252" customFormat="1" ht="16.5" thickBot="1">
      <c r="A52" s="309" t="s">
        <v>2425</v>
      </c>
      <c r="B52" s="310"/>
      <c r="C52" s="311">
        <f ca="1">C31+C51</f>
        <v>6603</v>
      </c>
      <c r="D52" s="310"/>
      <c r="E52" s="310"/>
      <c r="F52" s="310"/>
      <c r="G52" s="312"/>
    </row>
    <row r="55" spans="1:7" ht="15">
      <c r="B55" s="314" t="s">
        <v>2426</v>
      </c>
      <c r="C55" s="315"/>
    </row>
    <row r="56" spans="1:7">
      <c r="B56" s="317" t="s">
        <v>1509</v>
      </c>
      <c r="C56" s="319">
        <f ca="1">1-C57</f>
        <v>0.57400000000000007</v>
      </c>
    </row>
    <row r="57" spans="1:7">
      <c r="B57" s="317" t="s">
        <v>1510</v>
      </c>
      <c r="C57" s="318">
        <f ca="1">ROUND(C51/C52,3)</f>
        <v>0.42599999999999999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3</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12544</v>
      </c>
      <c r="C2" s="1848" t="s">
        <v>1512</v>
      </c>
      <c r="D2" s="1848"/>
      <c r="E2" s="1849"/>
      <c r="F2" s="1850"/>
      <c r="G2" s="1851"/>
      <c r="H2" s="1843"/>
      <c r="I2" s="1843"/>
      <c r="J2" s="1843"/>
      <c r="K2" s="1844"/>
      <c r="L2" s="1843"/>
      <c r="M2" s="1843"/>
    </row>
    <row r="3" spans="1:37" ht="18" customHeight="1" thickBot="1">
      <c r="A3" s="1852" t="s">
        <v>1513</v>
      </c>
      <c r="B3" s="1853">
        <f ca="1">IF(ISERROR(B2*10000/F43),0,ROUND(B2*10000/F43,0))</f>
        <v>9571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862</v>
      </c>
      <c r="D5" s="1825" t="s">
        <v>1398</v>
      </c>
      <c r="E5" s="1296"/>
      <c r="F5" s="1297"/>
      <c r="G5" s="1854"/>
      <c r="H5" s="344">
        <v>1</v>
      </c>
      <c r="I5" s="345" t="s">
        <v>1397</v>
      </c>
      <c r="J5" s="1295">
        <f ca="1">J6+J10+J12</f>
        <v>0</v>
      </c>
      <c r="K5" s="1825" t="s">
        <v>1398</v>
      </c>
      <c r="L5" s="1296"/>
      <c r="M5" s="1297"/>
    </row>
    <row r="6" spans="1:37" ht="18" customHeight="1">
      <c r="A6" s="1294" t="s">
        <v>1032</v>
      </c>
      <c r="B6" s="3206" t="s">
        <v>1399</v>
      </c>
      <c r="C6" s="1299">
        <f ca="1">ROUND(F6*F8*F7*(1-F9)/10000,0)</f>
        <v>861</v>
      </c>
      <c r="D6" s="164" t="s">
        <v>3032</v>
      </c>
      <c r="E6" s="347" t="s">
        <v>1401</v>
      </c>
      <c r="F6" s="348">
        <f ca="1">INDIRECT("'数据-取费表'!u"&amp;$G$1)</f>
        <v>2</v>
      </c>
      <c r="G6" s="1854"/>
      <c r="H6" s="1294" t="s">
        <v>1032</v>
      </c>
      <c r="I6" s="3206" t="s">
        <v>1399</v>
      </c>
      <c r="J6" s="346">
        <f ca="1">ROUND(M6*M8*M7*(1-M9)/10000,0)</f>
        <v>0</v>
      </c>
      <c r="K6" s="164" t="s">
        <v>3031</v>
      </c>
      <c r="L6" s="347" t="s">
        <v>1401</v>
      </c>
      <c r="M6" s="348">
        <f ca="1">INDIRECT("'数据-取费表'!z"&amp;$G$1)</f>
        <v>0</v>
      </c>
    </row>
    <row r="7" spans="1:37" ht="18" customHeight="1">
      <c r="A7" s="1298"/>
      <c r="B7" s="3207"/>
      <c r="C7" s="1300"/>
      <c r="D7" s="352"/>
      <c r="E7" s="1301" t="s">
        <v>1402</v>
      </c>
      <c r="F7" s="348">
        <f ca="1">IF(INDIRECT("'数据-取费表'!ah"&amp;$G$1)="",INDIRECT("'数据-取费表'!k"&amp;$G$1),INDIRECT("'数据-取费表'!ah"&amp;$G$1))</f>
        <v>13106.659999999993</v>
      </c>
      <c r="G7" s="1854"/>
      <c r="H7" s="349"/>
      <c r="I7" s="3207"/>
      <c r="J7" s="351"/>
      <c r="K7" s="352"/>
      <c r="L7" s="347" t="s">
        <v>1402</v>
      </c>
      <c r="M7" s="348">
        <f ca="1">F7</f>
        <v>13106.659999999993</v>
      </c>
    </row>
    <row r="8" spans="1:37" ht="18" customHeight="1">
      <c r="A8" s="349"/>
      <c r="B8" s="3207"/>
      <c r="C8" s="351"/>
      <c r="D8" s="352"/>
      <c r="E8" s="347" t="s">
        <v>1403</v>
      </c>
      <c r="F8" s="348">
        <f ca="1">INDIRECT("'数据-取费表'!ai"&amp;$G$1)</f>
        <v>365</v>
      </c>
      <c r="G8" s="1854"/>
      <c r="H8" s="349"/>
      <c r="I8" s="3207"/>
      <c r="J8" s="351"/>
      <c r="K8" s="352"/>
      <c r="L8" s="347" t="s">
        <v>1403</v>
      </c>
      <c r="M8" s="348">
        <f ca="1">INDIRECT("'数据-取费表'!ai"&amp;$G$1)</f>
        <v>365</v>
      </c>
    </row>
    <row r="9" spans="1:37" ht="18" customHeight="1">
      <c r="A9" s="349"/>
      <c r="B9" s="3208"/>
      <c r="C9" s="351"/>
      <c r="D9" s="352"/>
      <c r="E9" s="347" t="s">
        <v>1404</v>
      </c>
      <c r="F9" s="357">
        <f ca="1">INDIRECT("'数据-取费表'!w"&amp;$G$1)</f>
        <v>0.1</v>
      </c>
      <c r="G9" s="1854"/>
      <c r="H9" s="349"/>
      <c r="I9" s="3208"/>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3041</v>
      </c>
      <c r="E10" s="358" t="s">
        <v>1406</v>
      </c>
      <c r="F10" s="1369" t="s">
        <v>3368</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5000</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3277</v>
      </c>
      <c r="D14" s="1803" t="s">
        <v>1414</v>
      </c>
      <c r="E14" s="1797"/>
      <c r="F14" s="364"/>
      <c r="G14" s="1854"/>
      <c r="H14" s="1204" t="s">
        <v>1032</v>
      </c>
      <c r="I14" s="347" t="s">
        <v>1415</v>
      </c>
      <c r="J14" s="24">
        <f ca="1">C29</f>
        <v>5155</v>
      </c>
      <c r="K14" s="15"/>
      <c r="L14" s="982"/>
      <c r="M14" s="983"/>
    </row>
    <row r="15" spans="1:37" s="1861" customFormat="1" ht="18" customHeight="1" thickBot="1">
      <c r="A15" s="1204" t="s">
        <v>1033</v>
      </c>
      <c r="B15" s="347" t="s">
        <v>1416</v>
      </c>
      <c r="C15" s="24">
        <f ca="1">ROUND(C14*F15,0)</f>
        <v>98</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134</v>
      </c>
      <c r="K16" s="1340" t="s">
        <v>1421</v>
      </c>
      <c r="L16" s="1341"/>
      <c r="M16" s="1297"/>
    </row>
    <row r="17" spans="1:37" s="1861" customFormat="1" ht="18" customHeight="1">
      <c r="A17" s="1204" t="s">
        <v>1386</v>
      </c>
      <c r="B17" s="347" t="s">
        <v>1422</v>
      </c>
      <c r="C17" s="24">
        <f ca="1">ROUND(F17*(F43+INDIRECT("'数据-取费表'!S"&amp;$G$1))/10000,0)</f>
        <v>236</v>
      </c>
      <c r="D17" s="347" t="s">
        <v>1423</v>
      </c>
      <c r="E17" s="347" t="s">
        <v>1424</v>
      </c>
      <c r="F17" s="26">
        <f>'数据-取费表'!B35</f>
        <v>180</v>
      </c>
      <c r="G17" s="1857"/>
      <c r="H17" s="1204" t="s">
        <v>1032</v>
      </c>
      <c r="I17" s="347" t="s">
        <v>1425</v>
      </c>
      <c r="J17" s="24">
        <f ca="1">ROUND(IF(项目基本情况!B11="自然人",J5*M17,J18+J19+J20),1)</f>
        <v>56.2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49</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3660</v>
      </c>
      <c r="D19" s="140" t="s">
        <v>1432</v>
      </c>
      <c r="E19" s="1821"/>
      <c r="F19" s="26"/>
      <c r="G19" s="1854"/>
      <c r="H19" s="1204" t="s">
        <v>1033</v>
      </c>
      <c r="I19" s="347" t="s">
        <v>1433</v>
      </c>
      <c r="J19" s="24">
        <f ca="1">IF(K19="按租金收入计税",ROUND(J5*M19,2),ROUND(C29*M19*0.7,2))</f>
        <v>43.3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73</v>
      </c>
      <c r="D20" s="369" t="s">
        <v>1436</v>
      </c>
      <c r="E20" s="347" t="s">
        <v>1418</v>
      </c>
      <c r="F20" s="367">
        <f>'数据-取费表'!B37</f>
        <v>0.02</v>
      </c>
      <c r="G20" s="1857"/>
      <c r="H20" s="1204" t="s">
        <v>1385</v>
      </c>
      <c r="I20" s="164" t="s">
        <v>1437</v>
      </c>
      <c r="J20" s="25">
        <f ca="1">ROUND(M20*M21/10000,2)</f>
        <v>12.93</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25862.45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77.3</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269</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-134</v>
      </c>
      <c r="K25" s="1348" t="s">
        <v>1460</v>
      </c>
      <c r="L25" s="1349"/>
      <c r="M25" s="1350"/>
    </row>
    <row r="26" spans="1:37">
      <c r="A26" s="1204" t="s">
        <v>1031</v>
      </c>
      <c r="B26" s="347" t="s">
        <v>1461</v>
      </c>
      <c r="C26" s="24">
        <f ca="1">ROUND((C19+C20)*F26,0)</f>
        <v>747</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5155</v>
      </c>
      <c r="D29" s="1345"/>
      <c r="E29" s="1343"/>
      <c r="F29" s="1346"/>
      <c r="G29" s="1857"/>
      <c r="H29" s="380" t="s">
        <v>1030</v>
      </c>
      <c r="I29" s="381" t="s">
        <v>1475</v>
      </c>
      <c r="J29" s="382">
        <f ca="1">ROUND(J26/(1+F40)^F41,0)</f>
        <v>0</v>
      </c>
      <c r="K29" s="383" t="s">
        <v>1476</v>
      </c>
      <c r="L29" s="384"/>
      <c r="M29" s="385">
        <f ca="1">INDIRECT("'数据-取费表'!k"&amp;$G$1)</f>
        <v>13106.659999999993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264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162.30000000000001</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45.97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103.44</v>
      </c>
      <c r="D33" s="1831" t="s">
        <v>3292</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12.93</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25862.45</v>
      </c>
      <c r="G35" s="1854"/>
      <c r="H35" s="745"/>
      <c r="I35" s="1863"/>
      <c r="J35" s="1864"/>
      <c r="K35" s="1865"/>
      <c r="L35" s="1862"/>
      <c r="M35" s="1862"/>
    </row>
    <row r="36" spans="1:18" ht="18" customHeight="1">
      <c r="A36" s="1355" t="s">
        <v>1036</v>
      </c>
      <c r="B36" s="347" t="s">
        <v>1445</v>
      </c>
      <c r="C36" s="24">
        <f ca="1">ROUND(C29*F36,1)</f>
        <v>77.3</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7.5</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17.2</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598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12544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9571</v>
      </c>
      <c r="D43" s="383" t="s">
        <v>1484</v>
      </c>
      <c r="E43" s="384" t="s">
        <v>1485</v>
      </c>
      <c r="F43" s="385">
        <f ca="1">INDIRECT("'数据-取费表'!k"&amp;$G$1)</f>
        <v>13106.659999999993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-20668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3293</v>
      </c>
      <c r="K47" s="1885" t="s">
        <v>1523</v>
      </c>
      <c r="L47" s="1886">
        <f ca="1">INDIRECT("'数据-取费表'!d"&amp;$G$1)</f>
        <v>40</v>
      </c>
      <c r="M47" s="1841" t="str">
        <f>IF(ISNUMBER(FIND("住宅",C1)),"住宅","非住宅")</f>
        <v>非住宅</v>
      </c>
      <c r="O47" s="1887" t="s">
        <v>1037</v>
      </c>
      <c r="P47" s="1888" t="s">
        <v>1524</v>
      </c>
      <c r="Q47" s="1889">
        <f ca="1">C40+J29</f>
        <v>12544</v>
      </c>
      <c r="R47" s="1889" t="s">
        <v>1525</v>
      </c>
    </row>
    <row r="48" spans="1:18" s="1845" customFormat="1" ht="28.5" thickBot="1">
      <c r="A48" s="1363" t="s">
        <v>1132</v>
      </c>
      <c r="B48" s="345" t="s">
        <v>1397</v>
      </c>
      <c r="C48" s="1820">
        <f ca="1">C49+C53+C55</f>
        <v>0</v>
      </c>
      <c r="D48" s="1365"/>
      <c r="E48" s="1366"/>
      <c r="F48" s="1184"/>
      <c r="G48" s="792"/>
      <c r="H48" s="793"/>
      <c r="I48" s="1890" t="s">
        <v>1526</v>
      </c>
      <c r="J48" s="1891" t="s">
        <v>3294</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2017</v>
      </c>
      <c r="K49" s="1892" t="s">
        <v>1531</v>
      </c>
      <c r="L49" s="1896"/>
      <c r="O49" s="1897" t="s">
        <v>1039</v>
      </c>
      <c r="P49" s="1888" t="s">
        <v>1532</v>
      </c>
      <c r="Q49" s="1889">
        <f ca="1">C29</f>
        <v>5155</v>
      </c>
      <c r="R49" s="1889" t="s">
        <v>1525</v>
      </c>
    </row>
    <row r="50" spans="1:18" s="1845" customFormat="1" ht="13.5" thickBot="1">
      <c r="A50" s="1198"/>
      <c r="B50" s="1201"/>
      <c r="C50" s="1371"/>
      <c r="D50" s="1175"/>
      <c r="E50" s="1280" t="s">
        <v>1402</v>
      </c>
      <c r="F50" s="1281">
        <f ca="1">F7</f>
        <v>13106.659999999993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3221</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04" t="s">
        <v>1544</v>
      </c>
      <c r="L53" s="3205"/>
      <c r="O53" s="1887" t="s">
        <v>1043</v>
      </c>
      <c r="P53" s="1888" t="s">
        <v>1545</v>
      </c>
      <c r="Q53" s="1889">
        <f ca="1">Q47+Q48</f>
        <v>12544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5000</v>
      </c>
      <c r="D56" s="1917"/>
      <c r="E56" s="1918"/>
      <c r="F56" s="1910"/>
      <c r="I56" s="1919" t="s">
        <v>1550</v>
      </c>
      <c r="J56" s="1920" t="s">
        <v>3290</v>
      </c>
      <c r="K56" s="1890" t="s">
        <v>1551</v>
      </c>
      <c r="L56" s="1893" t="str">
        <f ca="1">IF(L48&lt;J51,"——",L48-J53)</f>
        <v>——</v>
      </c>
      <c r="O56" s="1887" t="s">
        <v>1037</v>
      </c>
      <c r="P56" s="1888" t="s">
        <v>1524</v>
      </c>
      <c r="Q56" s="1889">
        <f ca="1">C40+J29</f>
        <v>12544</v>
      </c>
      <c r="R56" s="1889" t="s">
        <v>1525</v>
      </c>
    </row>
    <row r="57" spans="1:18" s="1845" customFormat="1" ht="24.75" thickBot="1">
      <c r="A57" s="1921"/>
      <c r="B57" s="1172" t="s">
        <v>1474</v>
      </c>
      <c r="C57" s="282">
        <f ca="1">C29</f>
        <v>5155</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531</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446</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433.02</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12.93</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12544</v>
      </c>
      <c r="R62" s="1889" t="s">
        <v>1044</v>
      </c>
    </row>
    <row r="63" spans="1:18" s="1845" customFormat="1" ht="13.5" thickBot="1">
      <c r="A63" s="372"/>
      <c r="B63" s="1178"/>
      <c r="C63" s="29"/>
      <c r="D63" s="1188"/>
      <c r="E63" s="1172" t="s">
        <v>1495</v>
      </c>
      <c r="F63" s="348">
        <f t="shared" ca="1" si="0"/>
        <v>25862.45</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77.3</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7.5</v>
      </c>
      <c r="D65" s="1186" t="s">
        <v>1450</v>
      </c>
      <c r="E65" s="1172" t="s">
        <v>1451</v>
      </c>
      <c r="F65" s="376">
        <f t="shared" ca="1" si="0"/>
        <v>1.5E-3</v>
      </c>
      <c r="I65" s="1932" t="s">
        <v>1575</v>
      </c>
      <c r="J65" s="1933">
        <v>40</v>
      </c>
      <c r="K65" s="1933">
        <v>30</v>
      </c>
      <c r="L65" s="1933">
        <v>50</v>
      </c>
      <c r="M65" s="1935">
        <v>0.02</v>
      </c>
      <c r="O65" s="1887" t="s">
        <v>1037</v>
      </c>
      <c r="P65" s="1888" t="s">
        <v>1576</v>
      </c>
      <c r="Q65" s="1889">
        <f ca="1">C40+J29</f>
        <v>12544</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-531</v>
      </c>
      <c r="D67" s="1185" t="s">
        <v>1460</v>
      </c>
      <c r="E67" s="1190"/>
      <c r="F67" s="1191"/>
      <c r="O67" s="1897" t="s">
        <v>1039</v>
      </c>
      <c r="P67" s="1888" t="s">
        <v>1558</v>
      </c>
      <c r="Q67" s="1936">
        <f ca="1">L51</f>
        <v>3221</v>
      </c>
      <c r="R67" s="1889" t="s">
        <v>1578</v>
      </c>
    </row>
    <row r="68" spans="1:18" s="1845" customFormat="1" ht="16.5" thickBot="1">
      <c r="A68" s="1169" t="s">
        <v>1029</v>
      </c>
      <c r="B68" s="1170" t="s">
        <v>1481</v>
      </c>
      <c r="C68" s="346">
        <f ca="1">ROUND(C67*(1-((1+F70)/(1+F68))^F69)/(F68-F70),0)</f>
        <v>-8124</v>
      </c>
      <c r="D68" s="1187" t="s">
        <v>1465</v>
      </c>
      <c r="E68" s="1172" t="s">
        <v>1466</v>
      </c>
      <c r="F68" s="357">
        <f ca="1">F40</f>
        <v>5.5E-2</v>
      </c>
      <c r="O68" s="1897" t="s">
        <v>1040</v>
      </c>
      <c r="P68" s="1937" t="s">
        <v>1579</v>
      </c>
      <c r="Q68" s="1889">
        <f ca="1">ROUND(Q69-Q70*Q71,0)</f>
        <v>198</v>
      </c>
      <c r="R68" s="1889" t="s">
        <v>1048</v>
      </c>
    </row>
    <row r="69" spans="1:18" s="1845" customFormat="1" ht="13.5" thickBot="1">
      <c r="A69" s="1173"/>
      <c r="B69" s="1174"/>
      <c r="C69" s="351"/>
      <c r="D69" s="1192" t="s">
        <v>1469</v>
      </c>
      <c r="E69" s="1172" t="s">
        <v>1470</v>
      </c>
      <c r="F69" s="379">
        <f ca="1">F41</f>
        <v>34.4</v>
      </c>
      <c r="O69" s="1897" t="s">
        <v>1045</v>
      </c>
      <c r="P69" s="1937" t="s">
        <v>1580</v>
      </c>
      <c r="Q69" s="1889">
        <f ca="1">C39</f>
        <v>598</v>
      </c>
      <c r="R69" s="1889" t="s">
        <v>1525</v>
      </c>
    </row>
    <row r="70" spans="1:18" s="1845" customFormat="1" ht="13.5" thickBot="1">
      <c r="A70" s="1176"/>
      <c r="B70" s="1177"/>
      <c r="C70" s="355"/>
      <c r="D70" s="1188"/>
      <c r="E70" s="1172" t="s">
        <v>1473</v>
      </c>
      <c r="F70" s="1278"/>
      <c r="O70" s="1897" t="s">
        <v>1046</v>
      </c>
      <c r="P70" s="1937" t="s">
        <v>1581</v>
      </c>
      <c r="Q70" s="1889">
        <f ca="1">C13</f>
        <v>5000</v>
      </c>
      <c r="R70" s="1889" t="s">
        <v>1525</v>
      </c>
    </row>
    <row r="71" spans="1:18" s="1845" customFormat="1" ht="13.5" thickBot="1">
      <c r="A71" s="1193" t="s">
        <v>1030</v>
      </c>
      <c r="B71" s="1194" t="s">
        <v>1483</v>
      </c>
      <c r="C71" s="382">
        <f ca="1">ROUND(C68*10000/F71,0)</f>
        <v>-6198</v>
      </c>
      <c r="D71" s="1195" t="s">
        <v>1484</v>
      </c>
      <c r="E71" s="1196" t="s">
        <v>1485</v>
      </c>
      <c r="F71" s="385">
        <f ca="1">F43</f>
        <v>13106.659999999993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400</v>
      </c>
      <c r="D75" s="1845"/>
      <c r="E75" s="1845"/>
      <c r="F75" s="1845"/>
      <c r="K75" s="1871"/>
      <c r="L75" s="1845"/>
      <c r="O75" s="1887" t="s">
        <v>1043</v>
      </c>
      <c r="P75" s="1888" t="s">
        <v>1545</v>
      </c>
      <c r="Q75" s="1889">
        <f ca="1">Q65+Q66</f>
        <v>12544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0.33099999999999996</v>
      </c>
    </row>
    <row r="80" spans="1:18">
      <c r="B80" s="386" t="s">
        <v>1507</v>
      </c>
      <c r="C80" s="318">
        <f ca="1">ROUND(C75/C39,3)</f>
        <v>0.66900000000000004</v>
      </c>
    </row>
    <row r="81" spans="2:3">
      <c r="B81" s="314" t="s">
        <v>1508</v>
      </c>
      <c r="C81" s="282"/>
    </row>
    <row r="82" spans="2:3">
      <c r="B82" s="317" t="s">
        <v>1509</v>
      </c>
      <c r="C82" s="319">
        <f ca="1">1-C83</f>
        <v>0.60099999999999998</v>
      </c>
    </row>
    <row r="83" spans="2:3">
      <c r="B83" s="317" t="s">
        <v>1510</v>
      </c>
      <c r="C83" s="318">
        <f ca="1">ROUND(C13/C40,3)</f>
        <v>0.39900000000000002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06" t="s">
        <v>1399</v>
      </c>
      <c r="C6" s="1299">
        <f ca="1">ROUND(F6*F8*F7*(1-F9),0)</f>
        <v>0</v>
      </c>
      <c r="D6" s="164" t="s">
        <v>3029</v>
      </c>
      <c r="E6" s="347" t="s">
        <v>1401</v>
      </c>
      <c r="F6" s="348">
        <f ca="1">INDIRECT("'数据-取费表'!u"&amp;$G$1)</f>
        <v>0</v>
      </c>
      <c r="G6" s="1854"/>
      <c r="H6" s="1294" t="s">
        <v>1032</v>
      </c>
      <c r="I6" s="3206" t="s">
        <v>1399</v>
      </c>
      <c r="J6" s="346">
        <f ca="1">ROUND(M6*M8*M7*(1-M9),0)</f>
        <v>0</v>
      </c>
      <c r="K6" s="1837" t="s">
        <v>3030</v>
      </c>
      <c r="L6" s="347" t="s">
        <v>1401</v>
      </c>
      <c r="M6" s="348">
        <f ca="1">INDIRECT("'数据-取费表'!z"&amp;$G$1)</f>
        <v>0</v>
      </c>
    </row>
    <row r="7" spans="1:37" ht="18" customHeight="1">
      <c r="A7" s="1298"/>
      <c r="B7" s="3207"/>
      <c r="C7" s="1300"/>
      <c r="D7" s="352"/>
      <c r="E7" s="1301" t="s">
        <v>1402</v>
      </c>
      <c r="F7" s="348">
        <f ca="1">IF(INDIRECT("'数据-取费表'!ah"&amp;$G$1)="",INDIRECT("'数据-取费表'!k"&amp;$G$1),INDIRECT("'数据-取费表'!ah"&amp;$G$1))</f>
        <v>0</v>
      </c>
      <c r="G7" s="1854"/>
      <c r="H7" s="349"/>
      <c r="I7" s="3207"/>
      <c r="J7" s="351"/>
      <c r="K7" s="352"/>
      <c r="L7" s="347" t="s">
        <v>1402</v>
      </c>
      <c r="M7" s="348">
        <f ca="1">F7</f>
        <v>0</v>
      </c>
    </row>
    <row r="8" spans="1:37" ht="18" customHeight="1">
      <c r="A8" s="349"/>
      <c r="B8" s="3207"/>
      <c r="C8" s="351"/>
      <c r="D8" s="352"/>
      <c r="E8" s="347" t="s">
        <v>1403</v>
      </c>
      <c r="F8" s="348">
        <f ca="1">INDIRECT("'数据-取费表'!ai"&amp;$G$1)</f>
        <v>0</v>
      </c>
      <c r="G8" s="1854"/>
      <c r="H8" s="349"/>
      <c r="I8" s="3207"/>
      <c r="J8" s="351"/>
      <c r="K8" s="352"/>
      <c r="L8" s="347" t="s">
        <v>1403</v>
      </c>
      <c r="M8" s="348">
        <f ca="1">INDIRECT("'数据-取费表'!ai"&amp;$G$1)</f>
        <v>0</v>
      </c>
    </row>
    <row r="9" spans="1:37" ht="18" customHeight="1">
      <c r="A9" s="349"/>
      <c r="B9" s="3208"/>
      <c r="C9" s="351"/>
      <c r="D9" s="352"/>
      <c r="E9" s="347" t="s">
        <v>1404</v>
      </c>
      <c r="F9" s="357">
        <f ca="1">INDIRECT("'数据-取费表'!w"&amp;$G$1)</f>
        <v>0</v>
      </c>
      <c r="G9" s="1854"/>
      <c r="H9" s="349"/>
      <c r="I9" s="320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4" t="s">
        <v>1544</v>
      </c>
      <c r="L53" s="3205"/>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09" t="s">
        <v>1073</v>
      </c>
      <c r="B1" s="3210"/>
      <c r="C1" s="3211"/>
      <c r="D1" s="3212">
        <f>SUM(I10,I15,I20,I21,I23)</f>
        <v>0</v>
      </c>
      <c r="E1" s="3212"/>
      <c r="F1" s="3212"/>
      <c r="G1" s="3212"/>
      <c r="H1" s="3212"/>
      <c r="I1" s="3213"/>
    </row>
    <row r="2" spans="1:9">
      <c r="A2" s="3214" t="s">
        <v>1074</v>
      </c>
      <c r="B2" s="3215" t="s">
        <v>1075</v>
      </c>
      <c r="C2" s="3215"/>
      <c r="D2" s="1304" t="s">
        <v>1076</v>
      </c>
      <c r="E2" s="1304" t="s">
        <v>1077</v>
      </c>
      <c r="F2" s="1304" t="s">
        <v>1078</v>
      </c>
      <c r="G2" s="1304" t="s">
        <v>1079</v>
      </c>
      <c r="H2" s="1304" t="s">
        <v>1080</v>
      </c>
      <c r="I2" s="1305" t="s">
        <v>1081</v>
      </c>
    </row>
    <row r="3" spans="1:9">
      <c r="A3" s="3214"/>
      <c r="B3" s="3215" t="s">
        <v>1082</v>
      </c>
      <c r="C3" s="3215"/>
      <c r="D3" s="1306"/>
      <c r="E3" s="1304"/>
      <c r="F3" s="1307"/>
      <c r="G3" s="1307"/>
      <c r="H3" s="1308"/>
      <c r="I3" s="1309">
        <f>ROUND(D3*E3*F3*G3*H3/10000,0)</f>
        <v>0</v>
      </c>
    </row>
    <row r="4" spans="1:9">
      <c r="A4" s="3214"/>
      <c r="B4" s="3215" t="s">
        <v>1083</v>
      </c>
      <c r="C4" s="3215"/>
      <c r="D4" s="1306"/>
      <c r="E4" s="1304"/>
      <c r="F4" s="1307"/>
      <c r="G4" s="1307"/>
      <c r="H4" s="1308"/>
      <c r="I4" s="1309">
        <f t="shared" ref="I4:I9" si="0">ROUND(D4*E4*F4*G4*H4/10000,0)</f>
        <v>0</v>
      </c>
    </row>
    <row r="5" spans="1:9">
      <c r="A5" s="3214"/>
      <c r="B5" s="3215" t="s">
        <v>1084</v>
      </c>
      <c r="C5" s="3215"/>
      <c r="D5" s="1306"/>
      <c r="E5" s="1304"/>
      <c r="F5" s="1307"/>
      <c r="G5" s="1307"/>
      <c r="H5" s="1308"/>
      <c r="I5" s="1309">
        <f t="shared" si="0"/>
        <v>0</v>
      </c>
    </row>
    <row r="6" spans="1:9">
      <c r="A6" s="3214"/>
      <c r="B6" s="3215" t="s">
        <v>1085</v>
      </c>
      <c r="C6" s="3215"/>
      <c r="D6" s="1306"/>
      <c r="E6" s="1304"/>
      <c r="F6" s="1307"/>
      <c r="G6" s="1307"/>
      <c r="H6" s="1308"/>
      <c r="I6" s="1309">
        <f t="shared" si="0"/>
        <v>0</v>
      </c>
    </row>
    <row r="7" spans="1:9">
      <c r="A7" s="3214"/>
      <c r="B7" s="3215" t="s">
        <v>1086</v>
      </c>
      <c r="C7" s="3215"/>
      <c r="D7" s="1306"/>
      <c r="E7" s="1304"/>
      <c r="F7" s="1307"/>
      <c r="G7" s="1307"/>
      <c r="H7" s="1308"/>
      <c r="I7" s="1309">
        <f t="shared" si="0"/>
        <v>0</v>
      </c>
    </row>
    <row r="8" spans="1:9">
      <c r="A8" s="3214"/>
      <c r="B8" s="3215" t="s">
        <v>1087</v>
      </c>
      <c r="C8" s="3215"/>
      <c r="D8" s="1306"/>
      <c r="E8" s="1304"/>
      <c r="F8" s="1307"/>
      <c r="G8" s="1307"/>
      <c r="H8" s="1308"/>
      <c r="I8" s="1309">
        <f t="shared" si="0"/>
        <v>0</v>
      </c>
    </row>
    <row r="9" spans="1:9">
      <c r="A9" s="3214"/>
      <c r="B9" s="3215" t="s">
        <v>1088</v>
      </c>
      <c r="C9" s="3215"/>
      <c r="D9" s="1306"/>
      <c r="E9" s="1304"/>
      <c r="F9" s="1307"/>
      <c r="G9" s="1307"/>
      <c r="H9" s="1308"/>
      <c r="I9" s="1309">
        <f t="shared" si="0"/>
        <v>0</v>
      </c>
    </row>
    <row r="10" spans="1:9">
      <c r="A10" s="3214"/>
      <c r="B10" s="3216" t="s">
        <v>1089</v>
      </c>
      <c r="C10" s="3216"/>
      <c r="D10" s="1310"/>
      <c r="E10" s="1310" t="e">
        <f>ROUND(D1*10000/D10/H9,0)</f>
        <v>#DIV/0!</v>
      </c>
      <c r="F10" s="1311"/>
      <c r="G10" s="1311"/>
      <c r="H10" s="1312"/>
      <c r="I10" s="1313">
        <f>SUM(I3:I9)</f>
        <v>0</v>
      </c>
    </row>
    <row r="11" spans="1:9" ht="14.25">
      <c r="A11" s="3214" t="s">
        <v>1090</v>
      </c>
      <c r="B11" s="3215" t="s">
        <v>1091</v>
      </c>
      <c r="C11" s="3215"/>
      <c r="D11" s="1306" t="s">
        <v>1092</v>
      </c>
      <c r="E11" s="1306" t="s">
        <v>1093</v>
      </c>
      <c r="F11" s="1307" t="s">
        <v>1094</v>
      </c>
      <c r="G11" s="1307" t="s">
        <v>1080</v>
      </c>
      <c r="H11" s="1314" t="s">
        <v>1095</v>
      </c>
      <c r="I11" s="1305" t="s">
        <v>1081</v>
      </c>
    </row>
    <row r="12" spans="1:9">
      <c r="A12" s="3214"/>
      <c r="B12" s="3215" t="s">
        <v>1096</v>
      </c>
      <c r="C12" s="3215"/>
      <c r="D12" s="1306"/>
      <c r="E12" s="1306"/>
      <c r="F12" s="1307"/>
      <c r="G12" s="1308"/>
      <c r="H12" s="1315"/>
      <c r="I12" s="1305">
        <f>ROUND(D12*E12*F12*G12/10000,0)</f>
        <v>0</v>
      </c>
    </row>
    <row r="13" spans="1:9">
      <c r="A13" s="3214"/>
      <c r="B13" s="3215" t="s">
        <v>1097</v>
      </c>
      <c r="C13" s="3215"/>
      <c r="D13" s="1306"/>
      <c r="E13" s="1306"/>
      <c r="F13" s="1307"/>
      <c r="G13" s="1308"/>
      <c r="H13" s="1315"/>
      <c r="I13" s="1305">
        <f>ROUND(D13*E13*F13*G13/10000,0)</f>
        <v>0</v>
      </c>
    </row>
    <row r="14" spans="1:9">
      <c r="A14" s="3214"/>
      <c r="B14" s="3215" t="s">
        <v>1098</v>
      </c>
      <c r="C14" s="3215"/>
      <c r="D14" s="1306"/>
      <c r="E14" s="1306"/>
      <c r="F14" s="1307"/>
      <c r="G14" s="1308"/>
      <c r="H14" s="1315"/>
      <c r="I14" s="1305">
        <f>ROUND(D14*E14*F14*G14/10000,0)</f>
        <v>0</v>
      </c>
    </row>
    <row r="15" spans="1:9">
      <c r="A15" s="3214"/>
      <c r="B15" s="3216" t="s">
        <v>1089</v>
      </c>
      <c r="C15" s="3216"/>
      <c r="D15" s="1310"/>
      <c r="E15" s="1310">
        <f>SUM(E12:E14)</f>
        <v>0</v>
      </c>
      <c r="F15" s="1311"/>
      <c r="G15" s="1308"/>
      <c r="H15" s="1315"/>
      <c r="I15" s="1316">
        <f>SUM(I12:I14)</f>
        <v>0</v>
      </c>
    </row>
    <row r="16" spans="1:9" ht="24">
      <c r="A16" s="3214" t="s">
        <v>1099</v>
      </c>
      <c r="B16" s="3215" t="s">
        <v>1100</v>
      </c>
      <c r="C16" s="3215"/>
      <c r="D16" s="1306" t="s">
        <v>1076</v>
      </c>
      <c r="E16" s="1317" t="s">
        <v>1101</v>
      </c>
      <c r="F16" s="1307" t="s">
        <v>1102</v>
      </c>
      <c r="G16" s="1308" t="s">
        <v>1080</v>
      </c>
      <c r="H16" s="1314" t="s">
        <v>1095</v>
      </c>
      <c r="I16" s="1305" t="s">
        <v>1081</v>
      </c>
    </row>
    <row r="17" spans="1:9" ht="14.25">
      <c r="A17" s="3214"/>
      <c r="B17" s="3215" t="s">
        <v>1103</v>
      </c>
      <c r="C17" s="3215"/>
      <c r="D17" s="1306"/>
      <c r="E17" s="1306"/>
      <c r="F17" s="1307"/>
      <c r="G17" s="1308"/>
      <c r="H17" s="1318"/>
      <c r="I17" s="1319">
        <f>ROUND(D17*E17*F17*G17/10000,0)</f>
        <v>0</v>
      </c>
    </row>
    <row r="18" spans="1:9" ht="14.25">
      <c r="A18" s="3214"/>
      <c r="B18" s="3215" t="s">
        <v>1104</v>
      </c>
      <c r="C18" s="3215"/>
      <c r="D18" s="1306"/>
      <c r="E18" s="1306"/>
      <c r="F18" s="1307"/>
      <c r="G18" s="1308"/>
      <c r="H18" s="1318"/>
      <c r="I18" s="1319">
        <f>ROUND(D18*E18*F18*G18/10000,0)</f>
        <v>0</v>
      </c>
    </row>
    <row r="19" spans="1:9" ht="14.25">
      <c r="A19" s="3214"/>
      <c r="B19" s="3215" t="s">
        <v>1105</v>
      </c>
      <c r="C19" s="3215"/>
      <c r="D19" s="1306"/>
      <c r="E19" s="1306"/>
      <c r="F19" s="1307"/>
      <c r="G19" s="1308"/>
      <c r="H19" s="1318"/>
      <c r="I19" s="1319">
        <f>ROUND(D19*E19*F19*G19/10000,0)</f>
        <v>0</v>
      </c>
    </row>
    <row r="20" spans="1:9">
      <c r="A20" s="3214"/>
      <c r="B20" s="3216" t="s">
        <v>1089</v>
      </c>
      <c r="C20" s="3216"/>
      <c r="D20" s="1310">
        <f>SUM(D17:D19)</f>
        <v>0</v>
      </c>
      <c r="E20" s="1310"/>
      <c r="F20" s="1311"/>
      <c r="G20" s="1308"/>
      <c r="H20" s="1315"/>
      <c r="I20" s="1316">
        <f>SUM(I17:I19)</f>
        <v>0</v>
      </c>
    </row>
    <row r="21" spans="1:9">
      <c r="A21" s="3214" t="s">
        <v>1106</v>
      </c>
      <c r="B21" s="3218"/>
      <c r="C21" s="3218"/>
      <c r="D21" s="3218"/>
      <c r="E21" s="3218"/>
      <c r="F21" s="3218"/>
      <c r="G21" s="3218"/>
      <c r="H21" s="1768">
        <v>0.1</v>
      </c>
      <c r="I21" s="1313">
        <f>ROUND(I10*H21,0)</f>
        <v>0</v>
      </c>
    </row>
    <row r="22" spans="1:9" ht="14.25">
      <c r="A22" s="3219" t="s">
        <v>1107</v>
      </c>
      <c r="B22" s="3220"/>
      <c r="C22" s="3221"/>
      <c r="D22" s="1320" t="s">
        <v>1108</v>
      </c>
      <c r="E22" s="1320" t="s">
        <v>1109</v>
      </c>
      <c r="F22" s="1321" t="s">
        <v>1110</v>
      </c>
      <c r="G22" s="1321" t="s">
        <v>1111</v>
      </c>
      <c r="H22" s="1314" t="s">
        <v>1112</v>
      </c>
      <c r="I22" s="1305" t="s">
        <v>1113</v>
      </c>
    </row>
    <row r="23" spans="1:9" ht="14.25" thickBot="1">
      <c r="A23" s="3222"/>
      <c r="B23" s="3223"/>
      <c r="C23" s="3224"/>
      <c r="D23" s="1322"/>
      <c r="E23" s="1322"/>
      <c r="F23" s="1322"/>
      <c r="G23" s="1323"/>
      <c r="H23" s="1324"/>
      <c r="I23" s="1325">
        <f>ROUND(E23*D23*F23*(1-G23)/10000,0)</f>
        <v>0</v>
      </c>
    </row>
    <row r="26" spans="1:9">
      <c r="A26" s="1326" t="s">
        <v>1114</v>
      </c>
      <c r="B26" s="1326"/>
      <c r="C26" s="1326"/>
      <c r="D26" s="1326"/>
      <c r="E26" s="3225">
        <f>C27-C30-C31-C32</f>
        <v>0</v>
      </c>
      <c r="F26" s="3225"/>
      <c r="G26" s="3225"/>
      <c r="H26" s="1740" t="s">
        <v>1336</v>
      </c>
    </row>
    <row r="27" spans="1:9">
      <c r="A27" s="1327">
        <v>1</v>
      </c>
      <c r="B27" s="1328" t="s">
        <v>1115</v>
      </c>
      <c r="C27" s="1328">
        <f>C28+C29</f>
        <v>0</v>
      </c>
      <c r="D27" s="1328"/>
      <c r="E27" s="3226"/>
      <c r="F27" s="3226"/>
      <c r="G27" s="3226"/>
    </row>
    <row r="28" spans="1:9">
      <c r="A28" s="1329" t="s">
        <v>1116</v>
      </c>
      <c r="B28" s="1328" t="s">
        <v>1117</v>
      </c>
      <c r="C28" s="1328"/>
      <c r="D28" s="1328"/>
      <c r="E28" s="3226"/>
      <c r="F28" s="3226"/>
      <c r="G28" s="322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17"/>
      <c r="F32" s="3217"/>
      <c r="G32" s="3217"/>
    </row>
    <row r="33" spans="1:7" hidden="1">
      <c r="A33" s="3227" t="s">
        <v>1126</v>
      </c>
      <c r="B33" s="3228"/>
      <c r="C33" s="3228"/>
      <c r="D33" s="3229"/>
      <c r="E33" s="3225"/>
      <c r="F33" s="3225"/>
      <c r="G33" s="3225"/>
    </row>
    <row r="34" spans="1:7" hidden="1">
      <c r="A34" s="1331">
        <v>1</v>
      </c>
      <c r="B34" s="1328" t="s">
        <v>1127</v>
      </c>
      <c r="C34" s="1328"/>
      <c r="D34" s="1328"/>
      <c r="E34" s="3226"/>
      <c r="F34" s="3226"/>
      <c r="G34" s="3226"/>
    </row>
    <row r="35" spans="1:7" hidden="1">
      <c r="A35" s="1331">
        <v>2</v>
      </c>
      <c r="B35" s="1328" t="s">
        <v>1128</v>
      </c>
      <c r="C35" s="1328"/>
      <c r="D35" s="1328"/>
      <c r="E35" s="3226"/>
      <c r="F35" s="3226"/>
      <c r="G35" s="3226"/>
    </row>
    <row r="36" spans="1:7" hidden="1">
      <c r="A36" s="1331">
        <v>3</v>
      </c>
      <c r="B36" s="1328" t="s">
        <v>1129</v>
      </c>
      <c r="C36" s="1328"/>
      <c r="D36" s="1328"/>
      <c r="E36" s="3226"/>
      <c r="F36" s="3226"/>
      <c r="G36" s="3226"/>
    </row>
    <row r="37" spans="1:7" hidden="1">
      <c r="A37" s="1331">
        <v>4</v>
      </c>
      <c r="B37" s="1328" t="s">
        <v>1130</v>
      </c>
      <c r="C37" s="1328"/>
      <c r="D37" s="1328"/>
      <c r="E37" s="3226"/>
      <c r="F37" s="3226"/>
      <c r="G37" s="3226"/>
    </row>
    <row r="38" spans="1:7" hidden="1">
      <c r="A38" s="3227" t="s">
        <v>1131</v>
      </c>
      <c r="B38" s="3228"/>
      <c r="C38" s="3228"/>
      <c r="D38" s="3229"/>
      <c r="E38" s="3225"/>
      <c r="F38" s="3225"/>
      <c r="G38" s="32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20447.539999999961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48" t="s">
        <v>2535</v>
      </c>
      <c r="D4" s="3249"/>
      <c r="E4" s="3250" t="s">
        <v>2536</v>
      </c>
      <c r="F4" s="3251"/>
      <c r="G4" s="3248" t="s">
        <v>2537</v>
      </c>
      <c r="H4" s="3249"/>
      <c r="I4" s="3248" t="s">
        <v>2538</v>
      </c>
      <c r="J4" s="3249"/>
      <c r="K4" s="2601" t="s">
        <v>2539</v>
      </c>
      <c r="L4" s="1133"/>
      <c r="M4" s="1134"/>
      <c r="N4" s="1134"/>
      <c r="O4" s="1134"/>
      <c r="P4" s="3252" t="s">
        <v>2540</v>
      </c>
      <c r="Q4" s="3253"/>
      <c r="R4" s="3235" t="s">
        <v>2536</v>
      </c>
      <c r="S4" s="3236"/>
      <c r="T4" s="3235" t="s">
        <v>2537</v>
      </c>
      <c r="U4" s="3236"/>
      <c r="V4" s="3260" t="s">
        <v>2538</v>
      </c>
      <c r="W4" s="3260"/>
      <c r="X4" s="1816"/>
      <c r="Y4" s="3235" t="s">
        <v>2540</v>
      </c>
      <c r="Z4" s="3236"/>
      <c r="AA4" s="3230" t="s">
        <v>2536</v>
      </c>
      <c r="AB4" s="3230" t="s">
        <v>2537</v>
      </c>
      <c r="AC4" s="3230" t="s">
        <v>2538</v>
      </c>
    </row>
    <row r="5" spans="1:29" ht="15">
      <c r="A5" s="404"/>
      <c r="B5" s="405"/>
      <c r="C5" s="3241" t="s">
        <v>2541</v>
      </c>
      <c r="D5" s="3242"/>
      <c r="E5" s="3239" t="s">
        <v>2542</v>
      </c>
      <c r="F5" s="3240"/>
      <c r="G5" s="3241" t="s">
        <v>2543</v>
      </c>
      <c r="H5" s="3242"/>
      <c r="I5" s="3241" t="s">
        <v>2544</v>
      </c>
      <c r="J5" s="3242"/>
      <c r="K5" s="2602"/>
      <c r="L5" s="1133"/>
      <c r="M5" s="1134"/>
      <c r="N5" s="1134"/>
      <c r="O5" s="1134"/>
      <c r="P5" s="3254"/>
      <c r="Q5" s="3255"/>
      <c r="R5" s="3237"/>
      <c r="S5" s="3238"/>
      <c r="T5" s="3237"/>
      <c r="U5" s="3238"/>
      <c r="V5" s="3260"/>
      <c r="W5" s="3260"/>
      <c r="X5" s="1816"/>
      <c r="Y5" s="3237"/>
      <c r="Z5" s="3238"/>
      <c r="AA5" s="3231"/>
      <c r="AB5" s="3231"/>
      <c r="AC5" s="3231"/>
    </row>
    <row r="6" spans="1:29" ht="15.75" thickBot="1">
      <c r="A6" s="406"/>
      <c r="B6" s="407"/>
      <c r="C6" s="3243" t="s">
        <v>2545</v>
      </c>
      <c r="D6" s="3244"/>
      <c r="E6" s="3245" t="s">
        <v>2545</v>
      </c>
      <c r="F6" s="3246"/>
      <c r="G6" s="3243" t="s">
        <v>2545</v>
      </c>
      <c r="H6" s="3244"/>
      <c r="I6" s="3243" t="s">
        <v>2545</v>
      </c>
      <c r="J6" s="3244"/>
      <c r="K6" s="2602" t="s">
        <v>2546</v>
      </c>
      <c r="L6" s="1133"/>
      <c r="M6" s="1134"/>
      <c r="N6" s="1134"/>
      <c r="O6" s="1134"/>
      <c r="P6" s="3256"/>
      <c r="Q6" s="3257"/>
      <c r="R6" s="3237"/>
      <c r="S6" s="3238"/>
      <c r="T6" s="3258"/>
      <c r="U6" s="3259"/>
      <c r="V6" s="3260"/>
      <c r="W6" s="3260"/>
      <c r="X6" s="1816"/>
      <c r="Y6" s="3258"/>
      <c r="Z6" s="3259"/>
      <c r="AA6" s="3232"/>
      <c r="AB6" s="3232"/>
      <c r="AC6" s="3232"/>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33" t="s">
        <v>2548</v>
      </c>
      <c r="Q7" s="3261"/>
      <c r="R7" s="770" t="s">
        <v>23</v>
      </c>
      <c r="S7" s="771">
        <f t="shared" ref="S7:S15" si="0">F7</f>
        <v>0</v>
      </c>
      <c r="T7" s="770" t="s">
        <v>23</v>
      </c>
      <c r="U7" s="771">
        <f t="shared" ref="U7:U15" si="1">H7</f>
        <v>0</v>
      </c>
      <c r="V7" s="770" t="s">
        <v>23</v>
      </c>
      <c r="W7" s="771">
        <f t="shared" ref="W7:W15" si="2">J7</f>
        <v>0</v>
      </c>
      <c r="X7" s="772"/>
      <c r="Y7" s="3233" t="s">
        <v>2548</v>
      </c>
      <c r="Z7" s="3234"/>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33" t="s">
        <v>2551</v>
      </c>
      <c r="Q8" s="3234"/>
      <c r="R8" s="770" t="s">
        <v>23</v>
      </c>
      <c r="S8" s="771">
        <f t="shared" si="0"/>
        <v>0</v>
      </c>
      <c r="T8" s="770" t="s">
        <v>23</v>
      </c>
      <c r="U8" s="771">
        <f t="shared" si="1"/>
        <v>0</v>
      </c>
      <c r="V8" s="770" t="s">
        <v>23</v>
      </c>
      <c r="W8" s="771">
        <f t="shared" si="2"/>
        <v>0</v>
      </c>
      <c r="X8" s="772"/>
      <c r="Y8" s="3233" t="s">
        <v>2551</v>
      </c>
      <c r="Z8" s="3234"/>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47" t="s">
        <v>2554</v>
      </c>
      <c r="Q9" s="1798"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7"/>
      <c r="Q10" s="1798"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7"/>
      <c r="Q11" s="1798" t="str">
        <f t="shared" si="6"/>
        <v>容积率</v>
      </c>
      <c r="R11" s="770" t="s">
        <v>21</v>
      </c>
      <c r="S11" s="771" t="e">
        <f t="shared" si="0"/>
        <v>#N/A</v>
      </c>
      <c r="T11" s="770" t="s">
        <v>21</v>
      </c>
      <c r="U11" s="771" t="e">
        <f t="shared" si="1"/>
        <v>#N/A</v>
      </c>
      <c r="V11" s="770" t="s">
        <v>21</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47"/>
      <c r="Q12" s="1798">
        <f t="shared" si="6"/>
        <v>111</v>
      </c>
      <c r="R12" s="770" t="s">
        <v>21</v>
      </c>
      <c r="S12" s="771">
        <f t="shared" si="0"/>
        <v>100</v>
      </c>
      <c r="T12" s="770" t="s">
        <v>21</v>
      </c>
      <c r="U12" s="771">
        <f t="shared" si="1"/>
        <v>100</v>
      </c>
      <c r="V12" s="770" t="s">
        <v>21</v>
      </c>
      <c r="W12" s="771">
        <f t="shared" si="2"/>
        <v>100</v>
      </c>
      <c r="X12" s="772"/>
      <c r="Y12" s="306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47"/>
      <c r="Q13" s="1798">
        <f t="shared" si="6"/>
        <v>111</v>
      </c>
      <c r="R13" s="770" t="s">
        <v>21</v>
      </c>
      <c r="S13" s="771">
        <f t="shared" si="0"/>
        <v>100</v>
      </c>
      <c r="T13" s="770" t="s">
        <v>21</v>
      </c>
      <c r="U13" s="771">
        <f t="shared" si="1"/>
        <v>100</v>
      </c>
      <c r="V13" s="770" t="s">
        <v>21</v>
      </c>
      <c r="W13" s="771">
        <f t="shared" si="2"/>
        <v>100</v>
      </c>
      <c r="X13" s="772"/>
      <c r="Y13" s="3069"/>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47"/>
      <c r="Q14" s="1798">
        <f t="shared" si="6"/>
        <v>111</v>
      </c>
      <c r="R14" s="770" t="s">
        <v>21</v>
      </c>
      <c r="S14" s="771">
        <f t="shared" si="0"/>
        <v>100</v>
      </c>
      <c r="T14" s="770" t="s">
        <v>21</v>
      </c>
      <c r="U14" s="771">
        <f t="shared" si="1"/>
        <v>100</v>
      </c>
      <c r="V14" s="770" t="s">
        <v>21</v>
      </c>
      <c r="W14" s="771">
        <f t="shared" si="2"/>
        <v>100</v>
      </c>
      <c r="X14" s="772"/>
      <c r="Y14" s="3069"/>
      <c r="Z14" s="55">
        <f t="shared" si="7"/>
        <v>111</v>
      </c>
      <c r="AA14" s="773">
        <f t="shared" si="3"/>
        <v>1</v>
      </c>
      <c r="AB14" s="773">
        <f t="shared" si="4"/>
        <v>1</v>
      </c>
      <c r="AC14" s="773">
        <f t="shared" si="5"/>
        <v>1</v>
      </c>
    </row>
    <row r="15" spans="1:29" ht="99.75">
      <c r="A15" s="440" t="s">
        <v>2558</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4" t="s">
        <v>2559</v>
      </c>
      <c r="Q15" s="1813" t="str">
        <f t="shared" si="6"/>
        <v>居住社区成熟度</v>
      </c>
      <c r="R15" s="774" t="s">
        <v>21</v>
      </c>
      <c r="S15" s="775">
        <f t="shared" si="0"/>
        <v>100</v>
      </c>
      <c r="T15" s="774" t="s">
        <v>21</v>
      </c>
      <c r="U15" s="775">
        <f t="shared" si="1"/>
        <v>100</v>
      </c>
      <c r="V15" s="774" t="s">
        <v>21</v>
      </c>
      <c r="W15" s="775">
        <f t="shared" si="2"/>
        <v>100</v>
      </c>
      <c r="X15" s="1816"/>
      <c r="Y15" s="3267"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75"/>
      <c r="Q16" s="1813"/>
      <c r="R16" s="774"/>
      <c r="S16" s="775"/>
      <c r="T16" s="774"/>
      <c r="U16" s="775"/>
      <c r="V16" s="774"/>
      <c r="W16" s="775"/>
      <c r="X16" s="1816"/>
      <c r="Y16" s="3268"/>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5"/>
      <c r="Q17" s="1813" t="str">
        <f>B17</f>
        <v>交通便捷度</v>
      </c>
      <c r="R17" s="774" t="s">
        <v>21</v>
      </c>
      <c r="S17" s="775">
        <f>F17</f>
        <v>100</v>
      </c>
      <c r="T17" s="774" t="s">
        <v>21</v>
      </c>
      <c r="U17" s="775">
        <f>H17</f>
        <v>100</v>
      </c>
      <c r="V17" s="774" t="s">
        <v>21</v>
      </c>
      <c r="W17" s="775">
        <f>J17</f>
        <v>100</v>
      </c>
      <c r="X17" s="1816"/>
      <c r="Y17" s="3268"/>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75"/>
      <c r="Q18" s="1813"/>
      <c r="R18" s="774"/>
      <c r="S18" s="775"/>
      <c r="T18" s="774"/>
      <c r="U18" s="775"/>
      <c r="V18" s="774"/>
      <c r="W18" s="775"/>
      <c r="X18" s="1816"/>
      <c r="Y18" s="3268"/>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5"/>
      <c r="Q19" s="1813" t="str">
        <f>B19</f>
        <v>公共配套设施</v>
      </c>
      <c r="R19" s="774" t="s">
        <v>21</v>
      </c>
      <c r="S19" s="775">
        <f>F19</f>
        <v>100</v>
      </c>
      <c r="T19" s="774" t="s">
        <v>21</v>
      </c>
      <c r="U19" s="775">
        <f>H19</f>
        <v>100</v>
      </c>
      <c r="V19" s="774" t="s">
        <v>21</v>
      </c>
      <c r="W19" s="775">
        <f>J19</f>
        <v>100</v>
      </c>
      <c r="X19" s="1816"/>
      <c r="Y19" s="3268"/>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75"/>
      <c r="Q20" s="1813"/>
      <c r="R20" s="774"/>
      <c r="S20" s="775"/>
      <c r="T20" s="774"/>
      <c r="U20" s="775"/>
      <c r="V20" s="774"/>
      <c r="W20" s="775"/>
      <c r="X20" s="1816"/>
      <c r="Y20" s="3268"/>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5"/>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75"/>
      <c r="Q22" s="1813"/>
      <c r="R22" s="774"/>
      <c r="S22" s="775"/>
      <c r="T22" s="774"/>
      <c r="U22" s="775"/>
      <c r="V22" s="774"/>
      <c r="W22" s="775"/>
      <c r="X22" s="1816"/>
      <c r="Y22" s="3268"/>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5"/>
      <c r="Q23" s="1813" t="str">
        <f>B23</f>
        <v>自然及人文环境</v>
      </c>
      <c r="R23" s="774" t="s">
        <v>21</v>
      </c>
      <c r="S23" s="775">
        <f>F23</f>
        <v>100</v>
      </c>
      <c r="T23" s="774" t="s">
        <v>21</v>
      </c>
      <c r="U23" s="775">
        <f>H23</f>
        <v>100</v>
      </c>
      <c r="V23" s="774" t="s">
        <v>21</v>
      </c>
      <c r="W23" s="775">
        <f>J23</f>
        <v>100</v>
      </c>
      <c r="X23" s="1816"/>
      <c r="Y23" s="3268"/>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75"/>
      <c r="Q24" s="1813"/>
      <c r="R24" s="774"/>
      <c r="S24" s="775"/>
      <c r="T24" s="774"/>
      <c r="U24" s="775"/>
      <c r="V24" s="774"/>
      <c r="W24" s="775"/>
      <c r="X24" s="1816"/>
      <c r="Y24" s="3268"/>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7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8"/>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75"/>
      <c r="Q26" s="1813" t="str">
        <f t="shared" si="11"/>
        <v>朝向</v>
      </c>
      <c r="R26" s="774" t="s">
        <v>21</v>
      </c>
      <c r="S26" s="775">
        <f t="shared" si="12"/>
        <v>100</v>
      </c>
      <c r="T26" s="774" t="s">
        <v>21</v>
      </c>
      <c r="U26" s="775">
        <f t="shared" si="13"/>
        <v>100</v>
      </c>
      <c r="V26" s="774" t="s">
        <v>21</v>
      </c>
      <c r="W26" s="775">
        <f t="shared" si="14"/>
        <v>100</v>
      </c>
      <c r="X26" s="1816"/>
      <c r="Y26" s="326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75"/>
      <c r="Q27" s="1798">
        <f t="shared" si="11"/>
        <v>111</v>
      </c>
      <c r="R27" s="770" t="s">
        <v>21</v>
      </c>
      <c r="S27" s="771">
        <f t="shared" si="12"/>
        <v>100</v>
      </c>
      <c r="T27" s="770" t="s">
        <v>21</v>
      </c>
      <c r="U27" s="771">
        <f t="shared" si="13"/>
        <v>100</v>
      </c>
      <c r="V27" s="770" t="s">
        <v>21</v>
      </c>
      <c r="W27" s="771">
        <f t="shared" si="14"/>
        <v>100</v>
      </c>
      <c r="X27" s="772"/>
      <c r="Y27" s="326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75"/>
      <c r="Q28" s="1813">
        <f t="shared" si="11"/>
        <v>111</v>
      </c>
      <c r="R28" s="774" t="s">
        <v>21</v>
      </c>
      <c r="S28" s="775">
        <f t="shared" si="12"/>
        <v>100</v>
      </c>
      <c r="T28" s="774" t="s">
        <v>21</v>
      </c>
      <c r="U28" s="775">
        <f t="shared" si="13"/>
        <v>100</v>
      </c>
      <c r="V28" s="774" t="s">
        <v>21</v>
      </c>
      <c r="W28" s="775">
        <f t="shared" si="14"/>
        <v>100</v>
      </c>
      <c r="X28" s="1816"/>
      <c r="Y28" s="326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75"/>
      <c r="Q29" s="1813">
        <f t="shared" si="11"/>
        <v>111</v>
      </c>
      <c r="R29" s="774" t="s">
        <v>21</v>
      </c>
      <c r="S29" s="775">
        <f t="shared" si="12"/>
        <v>100</v>
      </c>
      <c r="T29" s="774" t="s">
        <v>21</v>
      </c>
      <c r="U29" s="775">
        <f t="shared" si="13"/>
        <v>100</v>
      </c>
      <c r="V29" s="774" t="s">
        <v>21</v>
      </c>
      <c r="W29" s="775">
        <f t="shared" si="14"/>
        <v>100</v>
      </c>
      <c r="X29" s="1816"/>
      <c r="Y29" s="326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75"/>
      <c r="Q30" s="1813">
        <f t="shared" si="11"/>
        <v>111</v>
      </c>
      <c r="R30" s="774" t="s">
        <v>21</v>
      </c>
      <c r="S30" s="775">
        <f t="shared" si="12"/>
        <v>100</v>
      </c>
      <c r="T30" s="774" t="s">
        <v>21</v>
      </c>
      <c r="U30" s="775">
        <f t="shared" si="13"/>
        <v>100</v>
      </c>
      <c r="V30" s="774" t="s">
        <v>21</v>
      </c>
      <c r="W30" s="775">
        <f t="shared" si="14"/>
        <v>100</v>
      </c>
      <c r="X30" s="1816"/>
      <c r="Y30" s="326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75"/>
      <c r="Q31" s="1813">
        <f t="shared" si="11"/>
        <v>111</v>
      </c>
      <c r="R31" s="774" t="s">
        <v>21</v>
      </c>
      <c r="S31" s="775">
        <f t="shared" si="12"/>
        <v>100</v>
      </c>
      <c r="T31" s="774" t="s">
        <v>21</v>
      </c>
      <c r="U31" s="775">
        <f t="shared" si="13"/>
        <v>100</v>
      </c>
      <c r="V31" s="774" t="s">
        <v>21</v>
      </c>
      <c r="W31" s="775">
        <f t="shared" si="14"/>
        <v>100</v>
      </c>
      <c r="X31" s="1816"/>
      <c r="Y31" s="3268"/>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69" t="s">
        <v>2564</v>
      </c>
      <c r="Q32" s="1813" t="str">
        <f t="shared" si="11"/>
        <v>建筑类型</v>
      </c>
      <c r="R32" s="774" t="s">
        <v>21</v>
      </c>
      <c r="S32" s="775">
        <f t="shared" si="12"/>
        <v>100</v>
      </c>
      <c r="T32" s="774" t="s">
        <v>21</v>
      </c>
      <c r="U32" s="775">
        <f t="shared" si="13"/>
        <v>100</v>
      </c>
      <c r="V32" s="774" t="s">
        <v>21</v>
      </c>
      <c r="W32" s="775">
        <f t="shared" si="14"/>
        <v>100</v>
      </c>
      <c r="X32" s="1816"/>
      <c r="Y32" s="3272"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70"/>
      <c r="Q33" s="776" t="str">
        <f t="shared" si="11"/>
        <v>项目建筑规模</v>
      </c>
      <c r="R33" s="777" t="s">
        <v>21</v>
      </c>
      <c r="S33" s="778" t="e">
        <f t="shared" si="12"/>
        <v>#N/A</v>
      </c>
      <c r="T33" s="777" t="s">
        <v>21</v>
      </c>
      <c r="U33" s="778" t="e">
        <f t="shared" si="13"/>
        <v>#N/A</v>
      </c>
      <c r="V33" s="777" t="s">
        <v>21</v>
      </c>
      <c r="W33" s="778" t="e">
        <f t="shared" si="14"/>
        <v>#N/A</v>
      </c>
      <c r="X33" s="779"/>
      <c r="Y33" s="3272"/>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70"/>
      <c r="Q34" s="1813" t="str">
        <f t="shared" si="11"/>
        <v>建筑结构</v>
      </c>
      <c r="R34" s="774" t="s">
        <v>21</v>
      </c>
      <c r="S34" s="775">
        <f t="shared" si="12"/>
        <v>100</v>
      </c>
      <c r="T34" s="774" t="s">
        <v>21</v>
      </c>
      <c r="U34" s="775">
        <f t="shared" si="13"/>
        <v>100</v>
      </c>
      <c r="V34" s="774" t="s">
        <v>21</v>
      </c>
      <c r="W34" s="775">
        <f t="shared" si="14"/>
        <v>100</v>
      </c>
      <c r="X34" s="1816"/>
      <c r="Y34" s="3272"/>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70"/>
      <c r="Q35" s="1813" t="str">
        <f t="shared" si="11"/>
        <v>建筑品质</v>
      </c>
      <c r="R35" s="774" t="s">
        <v>21</v>
      </c>
      <c r="S35" s="775">
        <f t="shared" si="12"/>
        <v>100</v>
      </c>
      <c r="T35" s="774" t="s">
        <v>21</v>
      </c>
      <c r="U35" s="775">
        <f t="shared" si="13"/>
        <v>100</v>
      </c>
      <c r="V35" s="774" t="s">
        <v>21</v>
      </c>
      <c r="W35" s="775">
        <f t="shared" si="14"/>
        <v>100</v>
      </c>
      <c r="X35" s="1816"/>
      <c r="Y35" s="3272"/>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70"/>
      <c r="Q36" s="1813" t="str">
        <f t="shared" si="11"/>
        <v>公共部分装修</v>
      </c>
      <c r="R36" s="774" t="s">
        <v>21</v>
      </c>
      <c r="S36" s="775">
        <f t="shared" si="12"/>
        <v>100</v>
      </c>
      <c r="T36" s="774" t="s">
        <v>21</v>
      </c>
      <c r="U36" s="775">
        <f t="shared" si="13"/>
        <v>100</v>
      </c>
      <c r="V36" s="774" t="s">
        <v>21</v>
      </c>
      <c r="W36" s="775">
        <f t="shared" si="14"/>
        <v>100</v>
      </c>
      <c r="X36" s="1816"/>
      <c r="Y36" s="3272"/>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0"/>
      <c r="Q37" s="1798" t="str">
        <f t="shared" si="11"/>
        <v>成新度</v>
      </c>
      <c r="R37" s="770" t="s">
        <v>21</v>
      </c>
      <c r="S37" s="771" t="e">
        <f t="shared" si="12"/>
        <v>#N/A</v>
      </c>
      <c r="T37" s="770" t="s">
        <v>21</v>
      </c>
      <c r="U37" s="771" t="e">
        <f t="shared" si="13"/>
        <v>#N/A</v>
      </c>
      <c r="V37" s="770" t="s">
        <v>21</v>
      </c>
      <c r="W37" s="771" t="e">
        <f t="shared" si="14"/>
        <v>#N/A</v>
      </c>
      <c r="X37" s="772"/>
      <c r="Y37" s="3272"/>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70" t="s">
        <v>2564</v>
      </c>
      <c r="Q38" s="1813" t="str">
        <f t="shared" si="11"/>
        <v>物业管理</v>
      </c>
      <c r="R38" s="774" t="s">
        <v>21</v>
      </c>
      <c r="S38" s="775">
        <f t="shared" si="12"/>
        <v>100</v>
      </c>
      <c r="T38" s="774" t="s">
        <v>21</v>
      </c>
      <c r="U38" s="775">
        <f t="shared" si="13"/>
        <v>100</v>
      </c>
      <c r="V38" s="774" t="s">
        <v>21</v>
      </c>
      <c r="W38" s="775">
        <f t="shared" si="14"/>
        <v>100</v>
      </c>
      <c r="X38" s="1816"/>
      <c r="Y38" s="3272"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70"/>
      <c r="Q39" s="1813" t="str">
        <f t="shared" si="11"/>
        <v>市政基础设施</v>
      </c>
      <c r="R39" s="774" t="s">
        <v>21</v>
      </c>
      <c r="S39" s="775">
        <f t="shared" si="12"/>
        <v>100</v>
      </c>
      <c r="T39" s="774" t="s">
        <v>21</v>
      </c>
      <c r="U39" s="775">
        <f t="shared" si="13"/>
        <v>100</v>
      </c>
      <c r="V39" s="774" t="s">
        <v>21</v>
      </c>
      <c r="W39" s="775">
        <f t="shared" si="14"/>
        <v>100</v>
      </c>
      <c r="X39" s="1816"/>
      <c r="Y39" s="3272"/>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70"/>
      <c r="Q40" s="1813" t="str">
        <f t="shared" si="11"/>
        <v>房型</v>
      </c>
      <c r="R40" s="774" t="s">
        <v>21</v>
      </c>
      <c r="S40" s="775">
        <f t="shared" si="12"/>
        <v>100</v>
      </c>
      <c r="T40" s="774" t="s">
        <v>21</v>
      </c>
      <c r="U40" s="775">
        <f t="shared" si="13"/>
        <v>100</v>
      </c>
      <c r="V40" s="774" t="s">
        <v>21</v>
      </c>
      <c r="W40" s="775">
        <f t="shared" si="14"/>
        <v>100</v>
      </c>
      <c r="X40" s="1816"/>
      <c r="Y40" s="3272"/>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70"/>
      <c r="Q41" s="776" t="str">
        <f t="shared" si="11"/>
        <v>单套/主力户型建筑面积</v>
      </c>
      <c r="R41" s="777" t="s">
        <v>21</v>
      </c>
      <c r="S41" s="778">
        <f t="shared" si="12"/>
        <v>100</v>
      </c>
      <c r="T41" s="777" t="s">
        <v>21</v>
      </c>
      <c r="U41" s="778">
        <f t="shared" si="13"/>
        <v>100</v>
      </c>
      <c r="V41" s="777" t="s">
        <v>21</v>
      </c>
      <c r="W41" s="778">
        <f t="shared" si="14"/>
        <v>100</v>
      </c>
      <c r="X41" s="779"/>
      <c r="Y41" s="3272"/>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70"/>
      <c r="Q42" s="1813" t="str">
        <f t="shared" si="11"/>
        <v>内部装修</v>
      </c>
      <c r="R42" s="774" t="s">
        <v>21</v>
      </c>
      <c r="S42" s="775">
        <f t="shared" si="12"/>
        <v>100</v>
      </c>
      <c r="T42" s="774" t="s">
        <v>21</v>
      </c>
      <c r="U42" s="775">
        <f t="shared" si="13"/>
        <v>100</v>
      </c>
      <c r="V42" s="774" t="s">
        <v>21</v>
      </c>
      <c r="W42" s="775">
        <f t="shared" si="14"/>
        <v>100</v>
      </c>
      <c r="X42" s="1816"/>
      <c r="Y42" s="3272"/>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70"/>
      <c r="Q43" s="1813" t="str">
        <f t="shared" si="11"/>
        <v>内部装修维护情况</v>
      </c>
      <c r="R43" s="774" t="s">
        <v>21</v>
      </c>
      <c r="S43" s="775">
        <f t="shared" si="12"/>
        <v>100</v>
      </c>
      <c r="T43" s="774" t="s">
        <v>21</v>
      </c>
      <c r="U43" s="775">
        <f t="shared" si="13"/>
        <v>100</v>
      </c>
      <c r="V43" s="774" t="s">
        <v>21</v>
      </c>
      <c r="W43" s="775">
        <f t="shared" si="14"/>
        <v>100</v>
      </c>
      <c r="X43" s="1816"/>
      <c r="Y43" s="327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70"/>
      <c r="Q44" s="1798">
        <f t="shared" si="11"/>
        <v>111</v>
      </c>
      <c r="R44" s="770" t="s">
        <v>21</v>
      </c>
      <c r="S44" s="771">
        <f t="shared" si="12"/>
        <v>100</v>
      </c>
      <c r="T44" s="770" t="s">
        <v>21</v>
      </c>
      <c r="U44" s="771">
        <f t="shared" si="13"/>
        <v>100</v>
      </c>
      <c r="V44" s="770" t="s">
        <v>21</v>
      </c>
      <c r="W44" s="771">
        <f t="shared" si="14"/>
        <v>100</v>
      </c>
      <c r="X44" s="772"/>
      <c r="Y44" s="327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70"/>
      <c r="Q45" s="1813">
        <f t="shared" si="11"/>
        <v>111</v>
      </c>
      <c r="R45" s="774" t="s">
        <v>21</v>
      </c>
      <c r="S45" s="775">
        <f t="shared" si="12"/>
        <v>100</v>
      </c>
      <c r="T45" s="774" t="s">
        <v>21</v>
      </c>
      <c r="U45" s="775">
        <f t="shared" si="13"/>
        <v>100</v>
      </c>
      <c r="V45" s="774" t="s">
        <v>21</v>
      </c>
      <c r="W45" s="775">
        <f t="shared" si="14"/>
        <v>100</v>
      </c>
      <c r="X45" s="1816"/>
      <c r="Y45" s="3272"/>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71"/>
      <c r="Q46" s="1813">
        <f t="shared" si="11"/>
        <v>111</v>
      </c>
      <c r="R46" s="774" t="s">
        <v>20</v>
      </c>
      <c r="S46" s="775">
        <f t="shared" si="12"/>
        <v>100</v>
      </c>
      <c r="T46" s="774" t="s">
        <v>20</v>
      </c>
      <c r="U46" s="775">
        <f t="shared" si="13"/>
        <v>100</v>
      </c>
      <c r="V46" s="774" t="s">
        <v>20</v>
      </c>
      <c r="W46" s="775">
        <f t="shared" si="14"/>
        <v>100</v>
      </c>
      <c r="X46" s="1816"/>
      <c r="Y46" s="3273"/>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65" t="str">
        <f>A47</f>
        <v>成交单价（元/平方米）</v>
      </c>
      <c r="Q47" s="3265"/>
      <c r="R47" s="3266">
        <f>E47</f>
        <v>0</v>
      </c>
      <c r="S47" s="3266"/>
      <c r="T47" s="3266">
        <f>G47</f>
        <v>0</v>
      </c>
      <c r="U47" s="3266"/>
      <c r="V47" s="3266">
        <f>I47</f>
        <v>0</v>
      </c>
      <c r="W47" s="3266"/>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20447.539999999961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48" t="s">
        <v>2645</v>
      </c>
      <c r="D4" s="3249"/>
      <c r="E4" s="3250" t="s">
        <v>2646</v>
      </c>
      <c r="F4" s="3251"/>
      <c r="G4" s="3248" t="s">
        <v>2647</v>
      </c>
      <c r="H4" s="3249"/>
      <c r="I4" s="3248" t="s">
        <v>2648</v>
      </c>
      <c r="J4" s="3249"/>
      <c r="K4" s="610" t="s">
        <v>2649</v>
      </c>
      <c r="L4" s="1133"/>
      <c r="M4" s="1134"/>
      <c r="N4" s="1134"/>
      <c r="O4" s="1134"/>
      <c r="P4" s="3252" t="s">
        <v>2650</v>
      </c>
      <c r="Q4" s="3253"/>
      <c r="R4" s="3235" t="s">
        <v>2646</v>
      </c>
      <c r="S4" s="3236"/>
      <c r="T4" s="3235" t="s">
        <v>2647</v>
      </c>
      <c r="U4" s="3236"/>
      <c r="V4" s="3260" t="s">
        <v>2648</v>
      </c>
      <c r="W4" s="3260"/>
      <c r="X4" s="1816"/>
      <c r="Y4" s="3235" t="s">
        <v>2650</v>
      </c>
      <c r="Z4" s="3236"/>
      <c r="AA4" s="3230" t="s">
        <v>2646</v>
      </c>
      <c r="AB4" s="3260" t="s">
        <v>2647</v>
      </c>
      <c r="AC4" s="3230" t="s">
        <v>2648</v>
      </c>
    </row>
    <row r="5" spans="1:29" ht="15">
      <c r="A5" s="404"/>
      <c r="B5" s="405"/>
      <c r="C5" s="3241" t="s">
        <v>2541</v>
      </c>
      <c r="D5" s="3242"/>
      <c r="E5" s="3239" t="s">
        <v>2542</v>
      </c>
      <c r="F5" s="3240"/>
      <c r="G5" s="3241" t="s">
        <v>2543</v>
      </c>
      <c r="H5" s="3242"/>
      <c r="I5" s="3241" t="s">
        <v>2544</v>
      </c>
      <c r="J5" s="3242"/>
      <c r="K5" s="610"/>
      <c r="L5" s="1133"/>
      <c r="M5" s="1134"/>
      <c r="N5" s="1134"/>
      <c r="O5" s="1134"/>
      <c r="P5" s="3254"/>
      <c r="Q5" s="3255"/>
      <c r="R5" s="3237"/>
      <c r="S5" s="3238"/>
      <c r="T5" s="3237"/>
      <c r="U5" s="3238"/>
      <c r="V5" s="3260"/>
      <c r="W5" s="3260"/>
      <c r="X5" s="1816"/>
      <c r="Y5" s="3237"/>
      <c r="Z5" s="3238"/>
      <c r="AA5" s="3231"/>
      <c r="AB5" s="3260"/>
      <c r="AC5" s="3231"/>
    </row>
    <row r="6" spans="1:29" ht="15.75" thickBot="1">
      <c r="A6" s="406"/>
      <c r="B6" s="407"/>
      <c r="C6" s="3243" t="s">
        <v>2545</v>
      </c>
      <c r="D6" s="3244"/>
      <c r="E6" s="3245" t="s">
        <v>2545</v>
      </c>
      <c r="F6" s="3246"/>
      <c r="G6" s="3243" t="s">
        <v>2545</v>
      </c>
      <c r="H6" s="3244"/>
      <c r="I6" s="3243" t="s">
        <v>2545</v>
      </c>
      <c r="J6" s="3244"/>
      <c r="K6" s="610" t="s">
        <v>2546</v>
      </c>
      <c r="L6" s="1133"/>
      <c r="M6" s="1134"/>
      <c r="N6" s="1134"/>
      <c r="O6" s="1134"/>
      <c r="P6" s="3256"/>
      <c r="Q6" s="3257"/>
      <c r="R6" s="3237"/>
      <c r="S6" s="3238"/>
      <c r="T6" s="3258"/>
      <c r="U6" s="3259"/>
      <c r="V6" s="3260"/>
      <c r="W6" s="3260"/>
      <c r="X6" s="1816"/>
      <c r="Y6" s="3258"/>
      <c r="Z6" s="3259"/>
      <c r="AA6" s="3232"/>
      <c r="AB6" s="3260"/>
      <c r="AC6" s="3232"/>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3" t="s">
        <v>2548</v>
      </c>
      <c r="Q7" s="3261"/>
      <c r="R7" s="770" t="s">
        <v>17</v>
      </c>
      <c r="S7" s="771">
        <f t="shared" ref="S7:S15" si="0">F7</f>
        <v>0</v>
      </c>
      <c r="T7" s="770" t="s">
        <v>17</v>
      </c>
      <c r="U7" s="771">
        <f t="shared" ref="U7:U15" si="1">H7</f>
        <v>0</v>
      </c>
      <c r="V7" s="770" t="s">
        <v>17</v>
      </c>
      <c r="W7" s="771">
        <f t="shared" ref="W7:W15" si="2">J7</f>
        <v>0</v>
      </c>
      <c r="X7" s="772"/>
      <c r="Y7" s="3233" t="s">
        <v>2548</v>
      </c>
      <c r="Z7" s="3234"/>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3" t="s">
        <v>2551</v>
      </c>
      <c r="Q8" s="3234"/>
      <c r="R8" s="770" t="s">
        <v>17</v>
      </c>
      <c r="S8" s="771">
        <f t="shared" si="0"/>
        <v>0</v>
      </c>
      <c r="T8" s="770" t="s">
        <v>17</v>
      </c>
      <c r="U8" s="771">
        <f t="shared" si="1"/>
        <v>0</v>
      </c>
      <c r="V8" s="770" t="s">
        <v>17</v>
      </c>
      <c r="W8" s="771">
        <f t="shared" si="2"/>
        <v>0</v>
      </c>
      <c r="X8" s="772"/>
      <c r="Y8" s="3233" t="s">
        <v>2551</v>
      </c>
      <c r="Z8" s="3234"/>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47" t="s">
        <v>2554</v>
      </c>
      <c r="Q9" s="1798"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47"/>
      <c r="Q10" s="1798"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47"/>
      <c r="Q11" s="1798"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7"/>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7"/>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7"/>
      <c r="Q14" s="1798">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4" t="s">
        <v>2559</v>
      </c>
      <c r="Q15" s="1813" t="str">
        <f t="shared" si="6"/>
        <v>商业繁华度</v>
      </c>
      <c r="R15" s="774" t="s">
        <v>17</v>
      </c>
      <c r="S15" s="775">
        <f t="shared" si="0"/>
        <v>100</v>
      </c>
      <c r="T15" s="774" t="s">
        <v>17</v>
      </c>
      <c r="U15" s="775">
        <f t="shared" si="1"/>
        <v>100</v>
      </c>
      <c r="V15" s="774" t="s">
        <v>17</v>
      </c>
      <c r="W15" s="775">
        <f t="shared" si="2"/>
        <v>100</v>
      </c>
      <c r="X15" s="1816"/>
      <c r="Y15" s="3267"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5"/>
      <c r="Q16" s="1813"/>
      <c r="R16" s="774"/>
      <c r="S16" s="775"/>
      <c r="T16" s="774"/>
      <c r="U16" s="775"/>
      <c r="V16" s="774"/>
      <c r="W16" s="775"/>
      <c r="X16" s="1816"/>
      <c r="Y16" s="3268"/>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5"/>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75"/>
      <c r="Q18" s="1813"/>
      <c r="R18" s="774"/>
      <c r="S18" s="775"/>
      <c r="T18" s="774"/>
      <c r="U18" s="775"/>
      <c r="V18" s="774"/>
      <c r="W18" s="775"/>
      <c r="X18" s="1816"/>
      <c r="Y18" s="3268"/>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5"/>
      <c r="Q19" s="1813" t="str">
        <f>B19</f>
        <v>公共配套设施</v>
      </c>
      <c r="R19" s="774" t="s">
        <v>17</v>
      </c>
      <c r="S19" s="775">
        <f>F19</f>
        <v>100</v>
      </c>
      <c r="T19" s="774" t="s">
        <v>17</v>
      </c>
      <c r="U19" s="775">
        <f>H19</f>
        <v>100</v>
      </c>
      <c r="V19" s="774" t="s">
        <v>17</v>
      </c>
      <c r="W19" s="775">
        <f>J19</f>
        <v>100</v>
      </c>
      <c r="X19" s="1816"/>
      <c r="Y19" s="326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75"/>
      <c r="Q20" s="1813"/>
      <c r="R20" s="774"/>
      <c r="S20" s="775"/>
      <c r="T20" s="774"/>
      <c r="U20" s="775"/>
      <c r="V20" s="774"/>
      <c r="W20" s="775"/>
      <c r="X20" s="1816"/>
      <c r="Y20" s="3268"/>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5"/>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75"/>
      <c r="Q22" s="1813"/>
      <c r="R22" s="774"/>
      <c r="S22" s="775"/>
      <c r="T22" s="774"/>
      <c r="U22" s="775"/>
      <c r="V22" s="774"/>
      <c r="W22" s="775"/>
      <c r="X22" s="1816"/>
      <c r="Y22" s="3268"/>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5"/>
      <c r="Q23" s="1813" t="str">
        <f>B23</f>
        <v>自然及人文环境</v>
      </c>
      <c r="R23" s="774" t="s">
        <v>17</v>
      </c>
      <c r="S23" s="775">
        <f>F23</f>
        <v>100</v>
      </c>
      <c r="T23" s="774" t="s">
        <v>17</v>
      </c>
      <c r="U23" s="775">
        <f>H23</f>
        <v>100</v>
      </c>
      <c r="V23" s="774" t="s">
        <v>17</v>
      </c>
      <c r="W23" s="775">
        <f>J23</f>
        <v>100</v>
      </c>
      <c r="X23" s="1816"/>
      <c r="Y23" s="3268"/>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75"/>
      <c r="Q24" s="1813"/>
      <c r="R24" s="774"/>
      <c r="S24" s="775"/>
      <c r="T24" s="774"/>
      <c r="U24" s="775"/>
      <c r="V24" s="774"/>
      <c r="W24" s="775"/>
      <c r="X24" s="1816"/>
      <c r="Y24" s="3268"/>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5"/>
      <c r="Q25" s="1813" t="str">
        <f t="shared" ref="Q25:Q46" si="11">B25</f>
        <v>临街状况</v>
      </c>
      <c r="R25" s="774" t="s">
        <v>17</v>
      </c>
      <c r="S25" s="775">
        <f>F25</f>
        <v>100</v>
      </c>
      <c r="T25" s="774" t="s">
        <v>17</v>
      </c>
      <c r="U25" s="775">
        <f>H25</f>
        <v>100</v>
      </c>
      <c r="V25" s="774" t="s">
        <v>17</v>
      </c>
      <c r="W25" s="775">
        <f>J25</f>
        <v>100</v>
      </c>
      <c r="X25" s="1816"/>
      <c r="Y25" s="3268"/>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5"/>
      <c r="Q26" s="1813" t="str">
        <f t="shared" si="11"/>
        <v>平面位置/可视性</v>
      </c>
      <c r="R26" s="774" t="s">
        <v>17</v>
      </c>
      <c r="S26" s="775">
        <f>F26</f>
        <v>100</v>
      </c>
      <c r="T26" s="774" t="s">
        <v>17</v>
      </c>
      <c r="U26" s="775">
        <f>H26</f>
        <v>100</v>
      </c>
      <c r="V26" s="774" t="s">
        <v>17</v>
      </c>
      <c r="W26" s="775">
        <f>J26</f>
        <v>100</v>
      </c>
      <c r="X26" s="1816"/>
      <c r="Y26" s="3268"/>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75"/>
      <c r="Q27" s="1798" t="str">
        <f t="shared" si="11"/>
        <v>人流量</v>
      </c>
      <c r="R27" s="770" t="s">
        <v>17</v>
      </c>
      <c r="S27" s="771">
        <f>F27</f>
        <v>100</v>
      </c>
      <c r="T27" s="770" t="s">
        <v>17</v>
      </c>
      <c r="U27" s="771">
        <f>H27</f>
        <v>100</v>
      </c>
      <c r="V27" s="770" t="s">
        <v>17</v>
      </c>
      <c r="W27" s="771">
        <f>J27</f>
        <v>100</v>
      </c>
      <c r="X27" s="772"/>
      <c r="Y27" s="3268"/>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5"/>
      <c r="Q29" s="1813">
        <f t="shared" si="11"/>
        <v>111</v>
      </c>
      <c r="R29" s="774" t="s">
        <v>17</v>
      </c>
      <c r="S29" s="775">
        <f t="shared" si="12"/>
        <v>100</v>
      </c>
      <c r="T29" s="774" t="s">
        <v>17</v>
      </c>
      <c r="U29" s="775">
        <f t="shared" si="13"/>
        <v>100</v>
      </c>
      <c r="V29" s="774" t="s">
        <v>17</v>
      </c>
      <c r="W29" s="775">
        <f t="shared" si="14"/>
        <v>100</v>
      </c>
      <c r="X29" s="1816"/>
      <c r="Y29" s="326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5"/>
      <c r="Q30" s="1813">
        <f t="shared" si="11"/>
        <v>111</v>
      </c>
      <c r="R30" s="774" t="s">
        <v>17</v>
      </c>
      <c r="S30" s="775">
        <f t="shared" si="12"/>
        <v>100</v>
      </c>
      <c r="T30" s="774" t="s">
        <v>17</v>
      </c>
      <c r="U30" s="775">
        <f t="shared" si="13"/>
        <v>100</v>
      </c>
      <c r="V30" s="774" t="s">
        <v>17</v>
      </c>
      <c r="W30" s="775">
        <f t="shared" si="14"/>
        <v>100</v>
      </c>
      <c r="X30" s="1816"/>
      <c r="Y30" s="326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5"/>
      <c r="Q31" s="1813">
        <f t="shared" si="11"/>
        <v>111</v>
      </c>
      <c r="R31" s="774" t="s">
        <v>17</v>
      </c>
      <c r="S31" s="775">
        <f t="shared" si="12"/>
        <v>100</v>
      </c>
      <c r="T31" s="774" t="s">
        <v>17</v>
      </c>
      <c r="U31" s="775">
        <f t="shared" si="13"/>
        <v>100</v>
      </c>
      <c r="V31" s="774" t="s">
        <v>17</v>
      </c>
      <c r="W31" s="775">
        <f t="shared" si="14"/>
        <v>100</v>
      </c>
      <c r="X31" s="1816"/>
      <c r="Y31" s="3268"/>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69" t="s">
        <v>2564</v>
      </c>
      <c r="Q32" s="1813" t="str">
        <f t="shared" si="11"/>
        <v>商业类型</v>
      </c>
      <c r="R32" s="774" t="s">
        <v>17</v>
      </c>
      <c r="S32" s="775">
        <f t="shared" si="12"/>
        <v>100</v>
      </c>
      <c r="T32" s="774" t="s">
        <v>17</v>
      </c>
      <c r="U32" s="775">
        <f t="shared" si="13"/>
        <v>100</v>
      </c>
      <c r="V32" s="774" t="s">
        <v>17</v>
      </c>
      <c r="W32" s="775">
        <f t="shared" si="14"/>
        <v>100</v>
      </c>
      <c r="X32" s="1816"/>
      <c r="Y32" s="3272"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0"/>
      <c r="Q33" s="776" t="str">
        <f t="shared" si="11"/>
        <v>项目建筑规模</v>
      </c>
      <c r="R33" s="777" t="s">
        <v>17</v>
      </c>
      <c r="S33" s="778" t="e">
        <f t="shared" si="12"/>
        <v>#N/A</v>
      </c>
      <c r="T33" s="777" t="s">
        <v>17</v>
      </c>
      <c r="U33" s="778" t="e">
        <f t="shared" si="13"/>
        <v>#N/A</v>
      </c>
      <c r="V33" s="777" t="s">
        <v>17</v>
      </c>
      <c r="W33" s="778" t="e">
        <f t="shared" si="14"/>
        <v>#N/A</v>
      </c>
      <c r="X33" s="779"/>
      <c r="Y33" s="3272"/>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70"/>
      <c r="Q34" s="1813" t="str">
        <f t="shared" si="11"/>
        <v>建筑结构</v>
      </c>
      <c r="R34" s="774" t="s">
        <v>17</v>
      </c>
      <c r="S34" s="775">
        <f t="shared" si="12"/>
        <v>100</v>
      </c>
      <c r="T34" s="774" t="s">
        <v>17</v>
      </c>
      <c r="U34" s="775">
        <f t="shared" si="13"/>
        <v>100</v>
      </c>
      <c r="V34" s="774" t="s">
        <v>17</v>
      </c>
      <c r="W34" s="775">
        <f t="shared" si="14"/>
        <v>100</v>
      </c>
      <c r="X34" s="1816"/>
      <c r="Y34" s="3272"/>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70"/>
      <c r="Q35" s="1813" t="str">
        <f t="shared" si="11"/>
        <v>公共部分装修</v>
      </c>
      <c r="R35" s="774" t="s">
        <v>17</v>
      </c>
      <c r="S35" s="775">
        <f t="shared" si="12"/>
        <v>100</v>
      </c>
      <c r="T35" s="774" t="s">
        <v>17</v>
      </c>
      <c r="U35" s="775">
        <f t="shared" si="13"/>
        <v>100</v>
      </c>
      <c r="V35" s="774" t="s">
        <v>17</v>
      </c>
      <c r="W35" s="775">
        <f t="shared" si="14"/>
        <v>100</v>
      </c>
      <c r="X35" s="1816"/>
      <c r="Y35" s="3272"/>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0"/>
      <c r="Q36" s="1813" t="str">
        <f t="shared" si="11"/>
        <v>成新度</v>
      </c>
      <c r="R36" s="774" t="s">
        <v>17</v>
      </c>
      <c r="S36" s="775" t="e">
        <f t="shared" si="12"/>
        <v>#N/A</v>
      </c>
      <c r="T36" s="774" t="s">
        <v>17</v>
      </c>
      <c r="U36" s="775" t="e">
        <f t="shared" si="13"/>
        <v>#N/A</v>
      </c>
      <c r="V36" s="774" t="s">
        <v>17</v>
      </c>
      <c r="W36" s="775" t="e">
        <f t="shared" si="14"/>
        <v>#N/A</v>
      </c>
      <c r="X36" s="1816"/>
      <c r="Y36" s="3272"/>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70"/>
      <c r="Q37" s="1798" t="str">
        <f t="shared" si="11"/>
        <v>市政基础设施</v>
      </c>
      <c r="R37" s="770" t="s">
        <v>17</v>
      </c>
      <c r="S37" s="771">
        <f t="shared" si="12"/>
        <v>100</v>
      </c>
      <c r="T37" s="770" t="s">
        <v>17</v>
      </c>
      <c r="U37" s="771">
        <f t="shared" si="13"/>
        <v>100</v>
      </c>
      <c r="V37" s="770" t="s">
        <v>17</v>
      </c>
      <c r="W37" s="771">
        <f t="shared" si="14"/>
        <v>100</v>
      </c>
      <c r="X37" s="772"/>
      <c r="Y37" s="3272"/>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70" t="s">
        <v>2564</v>
      </c>
      <c r="Q38" s="1813" t="str">
        <f t="shared" si="11"/>
        <v>业态</v>
      </c>
      <c r="R38" s="774" t="s">
        <v>17</v>
      </c>
      <c r="S38" s="775">
        <f t="shared" si="12"/>
        <v>100</v>
      </c>
      <c r="T38" s="774" t="s">
        <v>17</v>
      </c>
      <c r="U38" s="775">
        <f t="shared" si="13"/>
        <v>100</v>
      </c>
      <c r="V38" s="774" t="s">
        <v>17</v>
      </c>
      <c r="W38" s="775">
        <f t="shared" si="14"/>
        <v>100</v>
      </c>
      <c r="X38" s="1816"/>
      <c r="Y38" s="3272"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70"/>
      <c r="Q39" s="1813" t="str">
        <f t="shared" si="11"/>
        <v>层高</v>
      </c>
      <c r="R39" s="774" t="s">
        <v>17</v>
      </c>
      <c r="S39" s="775">
        <f t="shared" si="12"/>
        <v>100</v>
      </c>
      <c r="T39" s="774" t="s">
        <v>17</v>
      </c>
      <c r="U39" s="775">
        <f t="shared" si="13"/>
        <v>100</v>
      </c>
      <c r="V39" s="774" t="s">
        <v>17</v>
      </c>
      <c r="W39" s="775">
        <f t="shared" si="14"/>
        <v>100</v>
      </c>
      <c r="X39" s="1816"/>
      <c r="Y39" s="3272"/>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0"/>
      <c r="Q40" s="1813" t="str">
        <f t="shared" si="11"/>
        <v>单套建筑面积</v>
      </c>
      <c r="R40" s="774" t="s">
        <v>17</v>
      </c>
      <c r="S40" s="775">
        <f t="shared" si="12"/>
        <v>100</v>
      </c>
      <c r="T40" s="774" t="s">
        <v>17</v>
      </c>
      <c r="U40" s="775">
        <f t="shared" si="13"/>
        <v>100</v>
      </c>
      <c r="V40" s="774" t="s">
        <v>17</v>
      </c>
      <c r="W40" s="775">
        <f t="shared" si="14"/>
        <v>100</v>
      </c>
      <c r="X40" s="1816"/>
      <c r="Y40" s="3272"/>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0"/>
      <c r="Q41" s="776" t="str">
        <f t="shared" si="11"/>
        <v>进深比</v>
      </c>
      <c r="R41" s="777" t="s">
        <v>17</v>
      </c>
      <c r="S41" s="778">
        <f t="shared" si="12"/>
        <v>100</v>
      </c>
      <c r="T41" s="777" t="s">
        <v>17</v>
      </c>
      <c r="U41" s="778">
        <f t="shared" si="13"/>
        <v>100</v>
      </c>
      <c r="V41" s="777" t="s">
        <v>17</v>
      </c>
      <c r="W41" s="778">
        <f t="shared" si="14"/>
        <v>100</v>
      </c>
      <c r="X41" s="779"/>
      <c r="Y41" s="3272"/>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70"/>
      <c r="Q42" s="1813" t="str">
        <f t="shared" si="11"/>
        <v>内部装修</v>
      </c>
      <c r="R42" s="774" t="s">
        <v>17</v>
      </c>
      <c r="S42" s="775">
        <f t="shared" si="12"/>
        <v>100</v>
      </c>
      <c r="T42" s="774" t="s">
        <v>17</v>
      </c>
      <c r="U42" s="775">
        <f t="shared" si="13"/>
        <v>100</v>
      </c>
      <c r="V42" s="774" t="s">
        <v>17</v>
      </c>
      <c r="W42" s="775">
        <f t="shared" si="14"/>
        <v>100</v>
      </c>
      <c r="X42" s="1816"/>
      <c r="Y42" s="3272"/>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70"/>
      <c r="Q43" s="1813" t="str">
        <f t="shared" si="11"/>
        <v>内部装修维护情况</v>
      </c>
      <c r="R43" s="774" t="s">
        <v>17</v>
      </c>
      <c r="S43" s="775">
        <f t="shared" si="12"/>
        <v>100</v>
      </c>
      <c r="T43" s="774" t="s">
        <v>17</v>
      </c>
      <c r="U43" s="775">
        <f t="shared" si="13"/>
        <v>100</v>
      </c>
      <c r="V43" s="774" t="s">
        <v>17</v>
      </c>
      <c r="W43" s="775">
        <f t="shared" si="14"/>
        <v>100</v>
      </c>
      <c r="X43" s="1816"/>
      <c r="Y43" s="327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0"/>
      <c r="Q44" s="1798">
        <f t="shared" si="11"/>
        <v>111</v>
      </c>
      <c r="R44" s="770" t="s">
        <v>17</v>
      </c>
      <c r="S44" s="771">
        <f t="shared" si="12"/>
        <v>100</v>
      </c>
      <c r="T44" s="770" t="s">
        <v>17</v>
      </c>
      <c r="U44" s="771">
        <f t="shared" si="13"/>
        <v>100</v>
      </c>
      <c r="V44" s="770" t="s">
        <v>17</v>
      </c>
      <c r="W44" s="771">
        <f t="shared" si="14"/>
        <v>100</v>
      </c>
      <c r="X44" s="772"/>
      <c r="Y44" s="327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0"/>
      <c r="Q45" s="1813">
        <f t="shared" si="11"/>
        <v>111</v>
      </c>
      <c r="R45" s="774" t="s">
        <v>17</v>
      </c>
      <c r="S45" s="775">
        <f t="shared" si="12"/>
        <v>100</v>
      </c>
      <c r="T45" s="774" t="s">
        <v>17</v>
      </c>
      <c r="U45" s="775">
        <f t="shared" si="13"/>
        <v>100</v>
      </c>
      <c r="V45" s="774" t="s">
        <v>17</v>
      </c>
      <c r="W45" s="775">
        <f t="shared" si="14"/>
        <v>100</v>
      </c>
      <c r="X45" s="1816"/>
      <c r="Y45" s="3272"/>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1"/>
      <c r="Q46" s="1813">
        <f t="shared" si="11"/>
        <v>111</v>
      </c>
      <c r="R46" s="774" t="s">
        <v>17</v>
      </c>
      <c r="S46" s="775">
        <f t="shared" si="12"/>
        <v>100</v>
      </c>
      <c r="T46" s="774" t="s">
        <v>17</v>
      </c>
      <c r="U46" s="775">
        <f t="shared" si="13"/>
        <v>100</v>
      </c>
      <c r="V46" s="774" t="s">
        <v>17</v>
      </c>
      <c r="W46" s="775">
        <f t="shared" si="14"/>
        <v>100</v>
      </c>
      <c r="X46" s="1816"/>
      <c r="Y46" s="3273"/>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65" t="str">
        <f>A47</f>
        <v>成交单价（元/平方米）</v>
      </c>
      <c r="Q47" s="3265"/>
      <c r="R47" s="3260">
        <f>E47</f>
        <v>0</v>
      </c>
      <c r="S47" s="3260"/>
      <c r="T47" s="3260">
        <f>G47</f>
        <v>0</v>
      </c>
      <c r="U47" s="3260"/>
      <c r="V47" s="3260">
        <f>I47</f>
        <v>0</v>
      </c>
      <c r="W47" s="3260"/>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估价对象为房地产，为所有。根据《国有土地使用证》[]，估价对象（分摊）出让国有建设用地使用权面积为40347.69平方米，建筑面积为20447.54平方米。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估价对象为房地产,属开发建设的，该项目尚在开发建设中。根据《国有土地使用证》[]，估价对象（分摊）出让国有建设用地使用权面积为40347.69平方米，规划建筑面积为20447.54平方米。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20447.539999999961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48" t="s">
        <v>2645</v>
      </c>
      <c r="D4" s="3249"/>
      <c r="E4" s="3250" t="s">
        <v>2646</v>
      </c>
      <c r="F4" s="3251"/>
      <c r="G4" s="3248" t="s">
        <v>2647</v>
      </c>
      <c r="H4" s="3249"/>
      <c r="I4" s="3248" t="s">
        <v>2648</v>
      </c>
      <c r="J4" s="3249"/>
      <c r="K4" s="610" t="s">
        <v>2649</v>
      </c>
      <c r="L4" s="1133"/>
      <c r="M4" s="1134"/>
      <c r="N4" s="1134"/>
      <c r="O4" s="1134"/>
      <c r="P4" s="3282" t="s">
        <v>2650</v>
      </c>
      <c r="Q4" s="3283"/>
      <c r="R4" s="3277" t="s">
        <v>2646</v>
      </c>
      <c r="S4" s="3278"/>
      <c r="T4" s="3277" t="s">
        <v>2647</v>
      </c>
      <c r="U4" s="3278"/>
      <c r="V4" s="3286" t="s">
        <v>2648</v>
      </c>
      <c r="W4" s="3286"/>
      <c r="X4" s="2675"/>
      <c r="Y4" s="3277" t="s">
        <v>2650</v>
      </c>
      <c r="Z4" s="3278"/>
      <c r="AA4" s="3276" t="s">
        <v>2646</v>
      </c>
      <c r="AB4" s="3276" t="s">
        <v>2647</v>
      </c>
      <c r="AC4" s="3279" t="s">
        <v>2648</v>
      </c>
    </row>
    <row r="5" spans="1:29" ht="15">
      <c r="A5" s="404"/>
      <c r="B5" s="405"/>
      <c r="C5" s="3241" t="s">
        <v>2541</v>
      </c>
      <c r="D5" s="3242"/>
      <c r="E5" s="3239" t="s">
        <v>2542</v>
      </c>
      <c r="F5" s="3240"/>
      <c r="G5" s="3241" t="s">
        <v>2543</v>
      </c>
      <c r="H5" s="3242"/>
      <c r="I5" s="3241" t="s">
        <v>2544</v>
      </c>
      <c r="J5" s="3242"/>
      <c r="K5" s="610"/>
      <c r="L5" s="1133"/>
      <c r="M5" s="1134"/>
      <c r="N5" s="1134"/>
      <c r="O5" s="1134"/>
      <c r="P5" s="3284"/>
      <c r="Q5" s="3255"/>
      <c r="R5" s="3237"/>
      <c r="S5" s="3238"/>
      <c r="T5" s="3237"/>
      <c r="U5" s="3238"/>
      <c r="V5" s="3260"/>
      <c r="W5" s="3260"/>
      <c r="X5" s="1816"/>
      <c r="Y5" s="3237"/>
      <c r="Z5" s="3238"/>
      <c r="AA5" s="3231"/>
      <c r="AB5" s="3231"/>
      <c r="AC5" s="3280"/>
    </row>
    <row r="6" spans="1:29" ht="15.75" thickBot="1">
      <c r="A6" s="406"/>
      <c r="B6" s="407"/>
      <c r="C6" s="3243" t="s">
        <v>2545</v>
      </c>
      <c r="D6" s="3244"/>
      <c r="E6" s="3245" t="s">
        <v>2545</v>
      </c>
      <c r="F6" s="3246"/>
      <c r="G6" s="3243" t="s">
        <v>2545</v>
      </c>
      <c r="H6" s="3244"/>
      <c r="I6" s="3243" t="s">
        <v>2545</v>
      </c>
      <c r="J6" s="3244"/>
      <c r="K6" s="610" t="s">
        <v>2546</v>
      </c>
      <c r="L6" s="1133"/>
      <c r="M6" s="1134"/>
      <c r="N6" s="1134"/>
      <c r="O6" s="1134"/>
      <c r="P6" s="3285"/>
      <c r="Q6" s="3257"/>
      <c r="R6" s="3237"/>
      <c r="S6" s="3238"/>
      <c r="T6" s="3258"/>
      <c r="U6" s="3259"/>
      <c r="V6" s="3260"/>
      <c r="W6" s="3260"/>
      <c r="X6" s="1816"/>
      <c r="Y6" s="3258"/>
      <c r="Z6" s="3259"/>
      <c r="AA6" s="3232"/>
      <c r="AB6" s="3232"/>
      <c r="AC6" s="3281"/>
    </row>
    <row r="7" spans="1:29" s="117" customFormat="1" ht="15.75" thickBot="1">
      <c r="A7" s="408" t="s">
        <v>2547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7" t="s">
        <v>2548</v>
      </c>
      <c r="Q7" s="3261"/>
      <c r="R7" s="770" t="s">
        <v>17</v>
      </c>
      <c r="S7" s="771">
        <f t="shared" ref="S7:S15" si="0">F7</f>
        <v>0</v>
      </c>
      <c r="T7" s="770" t="s">
        <v>17</v>
      </c>
      <c r="U7" s="771">
        <f t="shared" ref="U7:U15" si="1">H7</f>
        <v>0</v>
      </c>
      <c r="V7" s="770" t="s">
        <v>17</v>
      </c>
      <c r="W7" s="771">
        <f t="shared" ref="W7:W15" si="2">J7</f>
        <v>0</v>
      </c>
      <c r="X7" s="772"/>
      <c r="Y7" s="3233" t="s">
        <v>2548</v>
      </c>
      <c r="Z7" s="3234"/>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7" t="s">
        <v>2551</v>
      </c>
      <c r="Q8" s="3234"/>
      <c r="R8" s="770" t="s">
        <v>17</v>
      </c>
      <c r="S8" s="771">
        <f t="shared" si="0"/>
        <v>0</v>
      </c>
      <c r="T8" s="770" t="s">
        <v>17</v>
      </c>
      <c r="U8" s="771">
        <f t="shared" si="1"/>
        <v>0</v>
      </c>
      <c r="V8" s="770" t="s">
        <v>17</v>
      </c>
      <c r="W8" s="771">
        <f t="shared" si="2"/>
        <v>0</v>
      </c>
      <c r="X8" s="772"/>
      <c r="Y8" s="3233" t="s">
        <v>2551</v>
      </c>
      <c r="Z8" s="3234"/>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47" t="s">
        <v>2554</v>
      </c>
      <c r="Q9" s="1798"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47"/>
      <c r="Q10" s="1798"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47"/>
      <c r="Q11" s="1798"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47"/>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47"/>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47"/>
      <c r="Q14" s="1798">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4" t="s">
        <v>2559</v>
      </c>
      <c r="Q15" s="1813" t="str">
        <f t="shared" si="6"/>
        <v>办公集聚程度</v>
      </c>
      <c r="R15" s="774" t="s">
        <v>17</v>
      </c>
      <c r="S15" s="775">
        <f t="shared" si="0"/>
        <v>100</v>
      </c>
      <c r="T15" s="774" t="s">
        <v>17</v>
      </c>
      <c r="U15" s="775">
        <f t="shared" si="1"/>
        <v>100</v>
      </c>
      <c r="V15" s="774" t="s">
        <v>17</v>
      </c>
      <c r="W15" s="775">
        <f t="shared" si="2"/>
        <v>100</v>
      </c>
      <c r="X15" s="1816"/>
      <c r="Y15" s="3267"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75"/>
      <c r="Q16" s="1813"/>
      <c r="R16" s="774"/>
      <c r="S16" s="775"/>
      <c r="T16" s="774"/>
      <c r="U16" s="775"/>
      <c r="V16" s="774"/>
      <c r="W16" s="775"/>
      <c r="X16" s="1816"/>
      <c r="Y16" s="3268"/>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5"/>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75"/>
      <c r="Q18" s="1813"/>
      <c r="R18" s="774"/>
      <c r="S18" s="775"/>
      <c r="T18" s="774"/>
      <c r="U18" s="775"/>
      <c r="V18" s="774"/>
      <c r="W18" s="775"/>
      <c r="X18" s="1816"/>
      <c r="Y18" s="3268"/>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5"/>
      <c r="Q19" s="1813" t="str">
        <f>B19</f>
        <v>公共配套设施</v>
      </c>
      <c r="R19" s="774" t="s">
        <v>17</v>
      </c>
      <c r="S19" s="775">
        <f>F19</f>
        <v>100</v>
      </c>
      <c r="T19" s="774" t="s">
        <v>17</v>
      </c>
      <c r="U19" s="775">
        <f>H19</f>
        <v>100</v>
      </c>
      <c r="V19" s="774" t="s">
        <v>17</v>
      </c>
      <c r="W19" s="775">
        <f>J19</f>
        <v>100</v>
      </c>
      <c r="X19" s="1816"/>
      <c r="Y19" s="3268"/>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75"/>
      <c r="Q20" s="1813"/>
      <c r="R20" s="774"/>
      <c r="S20" s="775"/>
      <c r="T20" s="774"/>
      <c r="U20" s="775"/>
      <c r="V20" s="774"/>
      <c r="W20" s="775"/>
      <c r="X20" s="1816"/>
      <c r="Y20" s="3268"/>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5"/>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75"/>
      <c r="Q22" s="1813"/>
      <c r="R22" s="774"/>
      <c r="S22" s="775"/>
      <c r="T22" s="774"/>
      <c r="U22" s="775"/>
      <c r="V22" s="774"/>
      <c r="W22" s="775"/>
      <c r="X22" s="1816"/>
      <c r="Y22" s="3268"/>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5"/>
      <c r="Q23" s="1813" t="str">
        <f>B23</f>
        <v>环境质量</v>
      </c>
      <c r="R23" s="774" t="s">
        <v>17</v>
      </c>
      <c r="S23" s="775">
        <f>F23</f>
        <v>100</v>
      </c>
      <c r="T23" s="774" t="s">
        <v>17</v>
      </c>
      <c r="U23" s="775">
        <f>H23</f>
        <v>100</v>
      </c>
      <c r="V23" s="774" t="s">
        <v>17</v>
      </c>
      <c r="W23" s="775">
        <f>J23</f>
        <v>100</v>
      </c>
      <c r="X23" s="1816"/>
      <c r="Y23" s="3268"/>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75"/>
      <c r="Q24" s="1813"/>
      <c r="R24" s="774"/>
      <c r="S24" s="775"/>
      <c r="T24" s="774"/>
      <c r="U24" s="775"/>
      <c r="V24" s="774"/>
      <c r="W24" s="775"/>
      <c r="X24" s="1816"/>
      <c r="Y24" s="3268"/>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75"/>
      <c r="Q25" s="1813" t="str">
        <f>B25</f>
        <v>毗邻道路的类型与等级</v>
      </c>
      <c r="R25" s="774" t="s">
        <v>17</v>
      </c>
      <c r="S25" s="775">
        <f>F25</f>
        <v>100</v>
      </c>
      <c r="T25" s="774" t="s">
        <v>17</v>
      </c>
      <c r="U25" s="775">
        <f>H25</f>
        <v>100</v>
      </c>
      <c r="V25" s="774" t="s">
        <v>17</v>
      </c>
      <c r="W25" s="775">
        <f>J25</f>
        <v>100</v>
      </c>
      <c r="X25" s="1816"/>
      <c r="Y25" s="3268"/>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75"/>
      <c r="Q26" s="1813"/>
      <c r="R26" s="774"/>
      <c r="S26" s="775"/>
      <c r="T26" s="774"/>
      <c r="U26" s="775"/>
      <c r="V26" s="774"/>
      <c r="W26" s="775"/>
      <c r="X26" s="1816"/>
      <c r="Y26" s="3268"/>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5"/>
      <c r="Q27" s="1813" t="str">
        <f t="shared" ref="Q27:Q47" si="11">B27</f>
        <v>楼层</v>
      </c>
      <c r="R27" s="774" t="s">
        <v>17</v>
      </c>
      <c r="S27" s="775">
        <f>F27</f>
        <v>100</v>
      </c>
      <c r="T27" s="774" t="s">
        <v>17</v>
      </c>
      <c r="U27" s="775">
        <f>H27</f>
        <v>100</v>
      </c>
      <c r="V27" s="774" t="s">
        <v>17</v>
      </c>
      <c r="W27" s="775">
        <f>J27</f>
        <v>100</v>
      </c>
      <c r="X27" s="1816"/>
      <c r="Y27" s="3268"/>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75"/>
      <c r="Q28" s="1798" t="str">
        <f t="shared" si="11"/>
        <v>朝向</v>
      </c>
      <c r="R28" s="770" t="s">
        <v>17</v>
      </c>
      <c r="S28" s="771">
        <f>F28</f>
        <v>100</v>
      </c>
      <c r="T28" s="770" t="s">
        <v>17</v>
      </c>
      <c r="U28" s="771">
        <f>H28</f>
        <v>100</v>
      </c>
      <c r="V28" s="770" t="s">
        <v>17</v>
      </c>
      <c r="W28" s="771">
        <f>J28</f>
        <v>100</v>
      </c>
      <c r="X28" s="772"/>
      <c r="Y28" s="3268"/>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75"/>
      <c r="Q29" s="1813">
        <f t="shared" si="11"/>
        <v>111</v>
      </c>
      <c r="R29" s="774" t="s">
        <v>17</v>
      </c>
      <c r="S29" s="775">
        <f t="shared" ref="S29:S47" si="12">F29</f>
        <v>100</v>
      </c>
      <c r="T29" s="774" t="s">
        <v>17</v>
      </c>
      <c r="U29" s="775">
        <f t="shared" ref="U29:U47" si="13">H29</f>
        <v>100</v>
      </c>
      <c r="V29" s="774" t="s">
        <v>17</v>
      </c>
      <c r="W29" s="775">
        <f t="shared" ref="W29:W47" si="14">J29</f>
        <v>100</v>
      </c>
      <c r="X29" s="1816"/>
      <c r="Y29" s="3268"/>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75"/>
      <c r="Q30" s="1813">
        <f t="shared" si="11"/>
        <v>111</v>
      </c>
      <c r="R30" s="774" t="s">
        <v>17</v>
      </c>
      <c r="S30" s="775">
        <f t="shared" si="12"/>
        <v>100</v>
      </c>
      <c r="T30" s="774" t="s">
        <v>17</v>
      </c>
      <c r="U30" s="775">
        <f t="shared" si="13"/>
        <v>100</v>
      </c>
      <c r="V30" s="774" t="s">
        <v>17</v>
      </c>
      <c r="W30" s="775">
        <f t="shared" si="14"/>
        <v>100</v>
      </c>
      <c r="X30" s="1816"/>
      <c r="Y30" s="3268"/>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75"/>
      <c r="Q31" s="1813">
        <f t="shared" si="11"/>
        <v>111</v>
      </c>
      <c r="R31" s="774" t="s">
        <v>17</v>
      </c>
      <c r="S31" s="775">
        <f t="shared" si="12"/>
        <v>100</v>
      </c>
      <c r="T31" s="774" t="s">
        <v>17</v>
      </c>
      <c r="U31" s="775">
        <f t="shared" si="13"/>
        <v>100</v>
      </c>
      <c r="V31" s="774" t="s">
        <v>17</v>
      </c>
      <c r="W31" s="775">
        <f t="shared" si="14"/>
        <v>100</v>
      </c>
      <c r="X31" s="1816"/>
      <c r="Y31" s="3268"/>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75"/>
      <c r="Q32" s="1813">
        <f t="shared" si="11"/>
        <v>111</v>
      </c>
      <c r="R32" s="774" t="s">
        <v>17</v>
      </c>
      <c r="S32" s="775">
        <f t="shared" si="12"/>
        <v>100</v>
      </c>
      <c r="T32" s="774" t="s">
        <v>17</v>
      </c>
      <c r="U32" s="775">
        <f t="shared" si="13"/>
        <v>100</v>
      </c>
      <c r="V32" s="774" t="s">
        <v>17</v>
      </c>
      <c r="W32" s="775">
        <f t="shared" si="14"/>
        <v>100</v>
      </c>
      <c r="X32" s="1816"/>
      <c r="Y32" s="3268"/>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69" t="s">
        <v>2564</v>
      </c>
      <c r="Q33" s="1813" t="str">
        <f t="shared" si="11"/>
        <v>建筑类型</v>
      </c>
      <c r="R33" s="774" t="s">
        <v>17</v>
      </c>
      <c r="S33" s="775">
        <f t="shared" si="12"/>
        <v>100</v>
      </c>
      <c r="T33" s="774" t="s">
        <v>17</v>
      </c>
      <c r="U33" s="775">
        <f t="shared" si="13"/>
        <v>100</v>
      </c>
      <c r="V33" s="774" t="s">
        <v>17</v>
      </c>
      <c r="W33" s="775">
        <f t="shared" si="14"/>
        <v>100</v>
      </c>
      <c r="X33" s="1816"/>
      <c r="Y33" s="3272"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0"/>
      <c r="Q34" s="776" t="str">
        <f t="shared" si="11"/>
        <v>项目建筑规模</v>
      </c>
      <c r="R34" s="777" t="s">
        <v>17</v>
      </c>
      <c r="S34" s="778" t="e">
        <f t="shared" si="12"/>
        <v>#N/A</v>
      </c>
      <c r="T34" s="777" t="s">
        <v>17</v>
      </c>
      <c r="U34" s="778" t="e">
        <f t="shared" si="13"/>
        <v>#N/A</v>
      </c>
      <c r="V34" s="777" t="s">
        <v>17</v>
      </c>
      <c r="W34" s="778" t="e">
        <f t="shared" si="14"/>
        <v>#N/A</v>
      </c>
      <c r="X34" s="779"/>
      <c r="Y34" s="3272"/>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0"/>
      <c r="Q35" s="1813" t="str">
        <f t="shared" si="11"/>
        <v>建筑结构</v>
      </c>
      <c r="R35" s="774" t="s">
        <v>17</v>
      </c>
      <c r="S35" s="775">
        <f t="shared" si="12"/>
        <v>100</v>
      </c>
      <c r="T35" s="774" t="s">
        <v>17</v>
      </c>
      <c r="U35" s="775">
        <f t="shared" si="13"/>
        <v>100</v>
      </c>
      <c r="V35" s="774" t="s">
        <v>17</v>
      </c>
      <c r="W35" s="775">
        <f t="shared" si="14"/>
        <v>100</v>
      </c>
      <c r="X35" s="1816"/>
      <c r="Y35" s="3272"/>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0"/>
      <c r="Q36" s="1813" t="str">
        <f t="shared" si="11"/>
        <v>公共部分装修</v>
      </c>
      <c r="R36" s="774" t="s">
        <v>17</v>
      </c>
      <c r="S36" s="775">
        <f t="shared" si="12"/>
        <v>100</v>
      </c>
      <c r="T36" s="774" t="s">
        <v>17</v>
      </c>
      <c r="U36" s="775">
        <f t="shared" si="13"/>
        <v>100</v>
      </c>
      <c r="V36" s="774" t="s">
        <v>17</v>
      </c>
      <c r="W36" s="775">
        <f t="shared" si="14"/>
        <v>100</v>
      </c>
      <c r="X36" s="1816"/>
      <c r="Y36" s="3272"/>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0"/>
      <c r="Q37" s="1813" t="str">
        <f t="shared" si="11"/>
        <v>成新度</v>
      </c>
      <c r="R37" s="774" t="s">
        <v>17</v>
      </c>
      <c r="S37" s="775" t="e">
        <f t="shared" si="12"/>
        <v>#N/A</v>
      </c>
      <c r="T37" s="774" t="s">
        <v>17</v>
      </c>
      <c r="U37" s="775" t="e">
        <f t="shared" si="13"/>
        <v>#N/A</v>
      </c>
      <c r="V37" s="774" t="s">
        <v>17</v>
      </c>
      <c r="W37" s="775" t="e">
        <f t="shared" si="14"/>
        <v>#N/A</v>
      </c>
      <c r="X37" s="1816"/>
      <c r="Y37" s="3272"/>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0"/>
      <c r="Q38" s="1798" t="str">
        <f t="shared" si="11"/>
        <v>写字楼等级</v>
      </c>
      <c r="R38" s="770" t="s">
        <v>17</v>
      </c>
      <c r="S38" s="771">
        <f t="shared" si="12"/>
        <v>100</v>
      </c>
      <c r="T38" s="770" t="s">
        <v>17</v>
      </c>
      <c r="U38" s="771">
        <f t="shared" si="13"/>
        <v>100</v>
      </c>
      <c r="V38" s="770" t="s">
        <v>17</v>
      </c>
      <c r="W38" s="771">
        <f t="shared" si="14"/>
        <v>100</v>
      </c>
      <c r="X38" s="772"/>
      <c r="Y38" s="3272"/>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0" t="s">
        <v>2564</v>
      </c>
      <c r="Q39" s="1813" t="str">
        <f t="shared" si="11"/>
        <v>物业管理</v>
      </c>
      <c r="R39" s="774" t="s">
        <v>17</v>
      </c>
      <c r="S39" s="775">
        <f t="shared" si="12"/>
        <v>100</v>
      </c>
      <c r="T39" s="774" t="s">
        <v>17</v>
      </c>
      <c r="U39" s="775">
        <f t="shared" si="13"/>
        <v>100</v>
      </c>
      <c r="V39" s="774" t="s">
        <v>17</v>
      </c>
      <c r="W39" s="775">
        <f t="shared" si="14"/>
        <v>100</v>
      </c>
      <c r="X39" s="1816"/>
      <c r="Y39" s="3272"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0"/>
      <c r="Q40" s="1813" t="str">
        <f t="shared" si="11"/>
        <v>市政基础设施</v>
      </c>
      <c r="R40" s="774" t="s">
        <v>17</v>
      </c>
      <c r="S40" s="775">
        <f t="shared" si="12"/>
        <v>100</v>
      </c>
      <c r="T40" s="774" t="s">
        <v>17</v>
      </c>
      <c r="U40" s="775">
        <f t="shared" si="13"/>
        <v>100</v>
      </c>
      <c r="V40" s="774" t="s">
        <v>17</v>
      </c>
      <c r="W40" s="775">
        <f t="shared" si="14"/>
        <v>100</v>
      </c>
      <c r="X40" s="1816"/>
      <c r="Y40" s="3272"/>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0"/>
      <c r="Q41" s="1813" t="str">
        <f t="shared" si="11"/>
        <v>层高</v>
      </c>
      <c r="R41" s="774" t="s">
        <v>17</v>
      </c>
      <c r="S41" s="775">
        <f t="shared" si="12"/>
        <v>100</v>
      </c>
      <c r="T41" s="774" t="s">
        <v>17</v>
      </c>
      <c r="U41" s="775">
        <f t="shared" si="13"/>
        <v>100</v>
      </c>
      <c r="V41" s="774" t="s">
        <v>17</v>
      </c>
      <c r="W41" s="775">
        <f t="shared" si="14"/>
        <v>100</v>
      </c>
      <c r="X41" s="1816"/>
      <c r="Y41" s="3272"/>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0"/>
      <c r="Q42" s="776" t="str">
        <f t="shared" si="11"/>
        <v>单套建筑面积</v>
      </c>
      <c r="R42" s="777" t="s">
        <v>17</v>
      </c>
      <c r="S42" s="778">
        <f t="shared" si="12"/>
        <v>100</v>
      </c>
      <c r="T42" s="777" t="s">
        <v>17</v>
      </c>
      <c r="U42" s="778">
        <f t="shared" si="13"/>
        <v>100</v>
      </c>
      <c r="V42" s="777" t="s">
        <v>17</v>
      </c>
      <c r="W42" s="778">
        <f t="shared" si="14"/>
        <v>100</v>
      </c>
      <c r="X42" s="779"/>
      <c r="Y42" s="3272"/>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0"/>
      <c r="Q43" s="1813" t="str">
        <f t="shared" si="11"/>
        <v>内部装修</v>
      </c>
      <c r="R43" s="774" t="s">
        <v>17</v>
      </c>
      <c r="S43" s="775">
        <f t="shared" si="12"/>
        <v>100</v>
      </c>
      <c r="T43" s="774" t="s">
        <v>17</v>
      </c>
      <c r="U43" s="775">
        <f t="shared" si="13"/>
        <v>100</v>
      </c>
      <c r="V43" s="774" t="s">
        <v>17</v>
      </c>
      <c r="W43" s="775">
        <f t="shared" si="14"/>
        <v>100</v>
      </c>
      <c r="X43" s="1816"/>
      <c r="Y43" s="3272"/>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70"/>
      <c r="Q44" s="1813" t="str">
        <f t="shared" si="11"/>
        <v>内部装修维护情况</v>
      </c>
      <c r="R44" s="774" t="s">
        <v>17</v>
      </c>
      <c r="S44" s="775">
        <f t="shared" si="12"/>
        <v>100</v>
      </c>
      <c r="T44" s="774" t="s">
        <v>17</v>
      </c>
      <c r="U44" s="775">
        <f t="shared" si="13"/>
        <v>100</v>
      </c>
      <c r="V44" s="774" t="s">
        <v>17</v>
      </c>
      <c r="W44" s="775">
        <f t="shared" si="14"/>
        <v>100</v>
      </c>
      <c r="X44" s="1816"/>
      <c r="Y44" s="3272"/>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0"/>
      <c r="Q45" s="1798">
        <f t="shared" si="11"/>
        <v>111</v>
      </c>
      <c r="R45" s="770" t="s">
        <v>17</v>
      </c>
      <c r="S45" s="771">
        <f t="shared" si="12"/>
        <v>100</v>
      </c>
      <c r="T45" s="770" t="s">
        <v>17</v>
      </c>
      <c r="U45" s="771">
        <f t="shared" si="13"/>
        <v>100</v>
      </c>
      <c r="V45" s="770" t="s">
        <v>17</v>
      </c>
      <c r="W45" s="771">
        <f t="shared" si="14"/>
        <v>100</v>
      </c>
      <c r="X45" s="772"/>
      <c r="Y45" s="3272"/>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0"/>
      <c r="Q46" s="1813">
        <f t="shared" si="11"/>
        <v>111</v>
      </c>
      <c r="R46" s="774" t="s">
        <v>17</v>
      </c>
      <c r="S46" s="775">
        <f t="shared" si="12"/>
        <v>100</v>
      </c>
      <c r="T46" s="774" t="s">
        <v>17</v>
      </c>
      <c r="U46" s="775">
        <f t="shared" si="13"/>
        <v>100</v>
      </c>
      <c r="V46" s="774" t="s">
        <v>17</v>
      </c>
      <c r="W46" s="775">
        <f t="shared" si="14"/>
        <v>100</v>
      </c>
      <c r="X46" s="1816"/>
      <c r="Y46" s="3272"/>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1"/>
      <c r="Q47" s="1813">
        <f t="shared" si="11"/>
        <v>111</v>
      </c>
      <c r="R47" s="774" t="s">
        <v>17</v>
      </c>
      <c r="S47" s="775">
        <f t="shared" si="12"/>
        <v>100</v>
      </c>
      <c r="T47" s="774" t="s">
        <v>17</v>
      </c>
      <c r="U47" s="775">
        <f t="shared" si="13"/>
        <v>100</v>
      </c>
      <c r="V47" s="774" t="s">
        <v>17</v>
      </c>
      <c r="W47" s="775">
        <f t="shared" si="14"/>
        <v>100</v>
      </c>
      <c r="X47" s="1816"/>
      <c r="Y47" s="3273"/>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47" t="str">
        <f>A48</f>
        <v>成交单价（元/平方米）</v>
      </c>
      <c r="Q48" s="3265"/>
      <c r="R48" s="3266">
        <f>E48</f>
        <v>0</v>
      </c>
      <c r="S48" s="3266"/>
      <c r="T48" s="3266">
        <f>G48</f>
        <v>0</v>
      </c>
      <c r="U48" s="3266"/>
      <c r="V48" s="3266">
        <f>I48</f>
        <v>0</v>
      </c>
      <c r="W48" s="3266"/>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47" t="str">
        <f>A49</f>
        <v>比较价值（元/平方米）</v>
      </c>
      <c r="Q49" s="3265"/>
      <c r="R49" s="3266" t="e">
        <f>IF(F1="售价",ROUND(PRODUCT(R48,AA7:AA47),0),ROUND(PRODUCT(R48,AA7:AA47),1))</f>
        <v>#DIV/0!</v>
      </c>
      <c r="S49" s="3266"/>
      <c r="T49" s="3266" t="e">
        <f>IF(F1="售价",ROUND(PRODUCT(T48,AB7:AB47),0),ROUND(PRODUCT(T48,AB7:AB47),1))</f>
        <v>#DIV/0!</v>
      </c>
      <c r="U49" s="3266"/>
      <c r="V49" s="3266" t="e">
        <f>IF(F1="售价",ROUND(PRODUCT(V48,AC7:AC47),0),ROUND(PRODUCT(V48,AC7:AC47),1))</f>
        <v>#DIV/0!</v>
      </c>
      <c r="W49" s="3266"/>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88" t="str">
        <f>A50</f>
        <v>估价对象XX用房的比较价值（楼面单价，元/平方米）</v>
      </c>
      <c r="Q50" s="3289"/>
      <c r="R50" s="3290" t="e">
        <f>IF(F1="售价",ROUND(AVERAGE(R49:V49),0),ROUND(AVERAGE(R49:V49),1))</f>
        <v>#DIV/0!</v>
      </c>
      <c r="S50" s="3290"/>
      <c r="T50" s="3290"/>
      <c r="U50" s="3290"/>
      <c r="V50" s="3290"/>
      <c r="W50" s="329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20447.539999999961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48" t="s">
        <v>2645</v>
      </c>
      <c r="D4" s="3249"/>
      <c r="E4" s="3250" t="s">
        <v>2646</v>
      </c>
      <c r="F4" s="3251"/>
      <c r="G4" s="3248" t="s">
        <v>2647</v>
      </c>
      <c r="H4" s="3249"/>
      <c r="I4" s="3248" t="s">
        <v>2648</v>
      </c>
      <c r="J4" s="3249"/>
      <c r="K4" s="610" t="s">
        <v>2649</v>
      </c>
      <c r="L4" s="1133"/>
      <c r="M4" s="1134"/>
      <c r="N4" s="1134"/>
      <c r="O4" s="1134"/>
      <c r="P4" s="3252" t="s">
        <v>2650</v>
      </c>
      <c r="Q4" s="3253"/>
      <c r="R4" s="3235" t="s">
        <v>2646</v>
      </c>
      <c r="S4" s="3236"/>
      <c r="T4" s="3235" t="s">
        <v>2647</v>
      </c>
      <c r="U4" s="3236"/>
      <c r="V4" s="3260" t="s">
        <v>2648</v>
      </c>
      <c r="W4" s="3260"/>
      <c r="X4" s="1816"/>
      <c r="Y4" s="3235" t="s">
        <v>2650</v>
      </c>
      <c r="Z4" s="3236"/>
      <c r="AA4" s="3230" t="s">
        <v>2646</v>
      </c>
      <c r="AB4" s="3231" t="s">
        <v>2647</v>
      </c>
      <c r="AC4" s="3230" t="s">
        <v>2648</v>
      </c>
    </row>
    <row r="5" spans="1:29" ht="15">
      <c r="A5" s="404"/>
      <c r="B5" s="405"/>
      <c r="C5" s="3241" t="s">
        <v>2541</v>
      </c>
      <c r="D5" s="3242"/>
      <c r="E5" s="3239" t="s">
        <v>2542</v>
      </c>
      <c r="F5" s="3240"/>
      <c r="G5" s="3241" t="s">
        <v>2543</v>
      </c>
      <c r="H5" s="3242"/>
      <c r="I5" s="3241" t="s">
        <v>2544</v>
      </c>
      <c r="J5" s="3242"/>
      <c r="K5" s="610"/>
      <c r="L5" s="1133"/>
      <c r="M5" s="1134"/>
      <c r="N5" s="1134"/>
      <c r="O5" s="1134"/>
      <c r="P5" s="3254"/>
      <c r="Q5" s="3255"/>
      <c r="R5" s="3237"/>
      <c r="S5" s="3238"/>
      <c r="T5" s="3237"/>
      <c r="U5" s="3238"/>
      <c r="V5" s="3260"/>
      <c r="W5" s="3260"/>
      <c r="X5" s="1816"/>
      <c r="Y5" s="3237"/>
      <c r="Z5" s="3238"/>
      <c r="AA5" s="3231"/>
      <c r="AB5" s="3231"/>
      <c r="AC5" s="3231"/>
    </row>
    <row r="6" spans="1:29" ht="15.75" thickBot="1">
      <c r="A6" s="406"/>
      <c r="B6" s="407"/>
      <c r="C6" s="3243" t="s">
        <v>2545</v>
      </c>
      <c r="D6" s="3244"/>
      <c r="E6" s="3245" t="s">
        <v>2545</v>
      </c>
      <c r="F6" s="3246"/>
      <c r="G6" s="3243" t="s">
        <v>2545</v>
      </c>
      <c r="H6" s="3244"/>
      <c r="I6" s="3243" t="s">
        <v>2545</v>
      </c>
      <c r="J6" s="3244"/>
      <c r="K6" s="610" t="s">
        <v>2546</v>
      </c>
      <c r="L6" s="1133"/>
      <c r="M6" s="1134"/>
      <c r="N6" s="1134"/>
      <c r="O6" s="1134"/>
      <c r="P6" s="3256"/>
      <c r="Q6" s="3257"/>
      <c r="R6" s="3237"/>
      <c r="S6" s="3238"/>
      <c r="T6" s="3258"/>
      <c r="U6" s="3259"/>
      <c r="V6" s="3260"/>
      <c r="W6" s="3260"/>
      <c r="X6" s="1816"/>
      <c r="Y6" s="3258"/>
      <c r="Z6" s="3259"/>
      <c r="AA6" s="3232"/>
      <c r="AB6" s="3232"/>
      <c r="AC6" s="3232"/>
    </row>
    <row r="7" spans="1:29" s="117" customFormat="1" ht="15.75" thickBot="1">
      <c r="A7" s="408" t="s">
        <v>2547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3" t="s">
        <v>2548</v>
      </c>
      <c r="Q7" s="3261"/>
      <c r="R7" s="770" t="s">
        <v>17</v>
      </c>
      <c r="S7" s="771">
        <f t="shared" ref="S7:S15" si="0">F7</f>
        <v>0</v>
      </c>
      <c r="T7" s="770" t="s">
        <v>17</v>
      </c>
      <c r="U7" s="771">
        <f t="shared" ref="U7:U15" si="1">H7</f>
        <v>0</v>
      </c>
      <c r="V7" s="770" t="s">
        <v>17</v>
      </c>
      <c r="W7" s="771">
        <f t="shared" ref="W7:W15" si="2">J7</f>
        <v>0</v>
      </c>
      <c r="X7" s="772"/>
      <c r="Y7" s="3233" t="s">
        <v>2548</v>
      </c>
      <c r="Z7" s="3234"/>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3" t="s">
        <v>2551</v>
      </c>
      <c r="Q8" s="3234"/>
      <c r="R8" s="770" t="s">
        <v>17</v>
      </c>
      <c r="S8" s="771">
        <f t="shared" si="0"/>
        <v>0</v>
      </c>
      <c r="T8" s="770" t="s">
        <v>17</v>
      </c>
      <c r="U8" s="771">
        <f t="shared" si="1"/>
        <v>0</v>
      </c>
      <c r="V8" s="770" t="s">
        <v>17</v>
      </c>
      <c r="W8" s="771">
        <f t="shared" si="2"/>
        <v>0</v>
      </c>
      <c r="X8" s="772"/>
      <c r="Y8" s="3233" t="s">
        <v>2551</v>
      </c>
      <c r="Z8" s="3234"/>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5" t="s">
        <v>2554</v>
      </c>
      <c r="Q9" s="1798"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5"/>
      <c r="Q10" s="1798"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5"/>
      <c r="Q11" s="1798"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65"/>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65"/>
      <c r="Q14" s="1798">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7" t="s">
        <v>2559</v>
      </c>
      <c r="Q15" s="1813" t="str">
        <f t="shared" si="6"/>
        <v>产业集聚程度</v>
      </c>
      <c r="R15" s="774" t="s">
        <v>17</v>
      </c>
      <c r="S15" s="775">
        <f t="shared" si="0"/>
        <v>100</v>
      </c>
      <c r="T15" s="774" t="s">
        <v>17</v>
      </c>
      <c r="U15" s="775">
        <f t="shared" si="1"/>
        <v>100</v>
      </c>
      <c r="V15" s="774" t="s">
        <v>17</v>
      </c>
      <c r="W15" s="775">
        <f t="shared" si="2"/>
        <v>100</v>
      </c>
      <c r="X15" s="1816"/>
      <c r="Y15" s="3267"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8"/>
      <c r="Q16" s="1813"/>
      <c r="R16" s="774"/>
      <c r="S16" s="775"/>
      <c r="T16" s="774"/>
      <c r="U16" s="775"/>
      <c r="V16" s="774"/>
      <c r="W16" s="775"/>
      <c r="X16" s="1816"/>
      <c r="Y16" s="3268"/>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8"/>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68"/>
      <c r="Q18" s="1813"/>
      <c r="R18" s="774"/>
      <c r="S18" s="775"/>
      <c r="T18" s="774"/>
      <c r="U18" s="775"/>
      <c r="V18" s="774"/>
      <c r="W18" s="775"/>
      <c r="X18" s="1816"/>
      <c r="Y18" s="3268"/>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8"/>
      <c r="Q19" s="1813" t="str">
        <f>B19</f>
        <v>公共配套设施</v>
      </c>
      <c r="R19" s="774" t="s">
        <v>17</v>
      </c>
      <c r="S19" s="775">
        <f>F19</f>
        <v>100</v>
      </c>
      <c r="T19" s="774" t="s">
        <v>17</v>
      </c>
      <c r="U19" s="775">
        <f>H19</f>
        <v>100</v>
      </c>
      <c r="V19" s="774" t="s">
        <v>17</v>
      </c>
      <c r="W19" s="775">
        <f>J19</f>
        <v>100</v>
      </c>
      <c r="X19" s="1816"/>
      <c r="Y19" s="326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68"/>
      <c r="Q20" s="1813"/>
      <c r="R20" s="774"/>
      <c r="S20" s="775"/>
      <c r="T20" s="774"/>
      <c r="U20" s="775"/>
      <c r="V20" s="774"/>
      <c r="W20" s="775"/>
      <c r="X20" s="1816"/>
      <c r="Y20" s="3268"/>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8"/>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68"/>
      <c r="Q22" s="1813"/>
      <c r="R22" s="774"/>
      <c r="S22" s="775"/>
      <c r="T22" s="774"/>
      <c r="U22" s="775"/>
      <c r="V22" s="774"/>
      <c r="W22" s="775"/>
      <c r="X22" s="1816"/>
      <c r="Y22" s="3268"/>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8"/>
      <c r="Q23" s="1813" t="str">
        <f>B23</f>
        <v>环境质量</v>
      </c>
      <c r="R23" s="774" t="s">
        <v>17</v>
      </c>
      <c r="S23" s="775">
        <f>F23</f>
        <v>100</v>
      </c>
      <c r="T23" s="774" t="s">
        <v>17</v>
      </c>
      <c r="U23" s="775">
        <f>H23</f>
        <v>100</v>
      </c>
      <c r="V23" s="774" t="s">
        <v>17</v>
      </c>
      <c r="W23" s="775">
        <f>J23</f>
        <v>100</v>
      </c>
      <c r="X23" s="1816"/>
      <c r="Y23" s="3268"/>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68"/>
      <c r="Q24" s="1813"/>
      <c r="R24" s="774"/>
      <c r="S24" s="775"/>
      <c r="T24" s="774"/>
      <c r="U24" s="775"/>
      <c r="V24" s="774"/>
      <c r="W24" s="775"/>
      <c r="X24" s="1816"/>
      <c r="Y24" s="326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8"/>
      <c r="Q25" s="1813">
        <f>B25</f>
        <v>111</v>
      </c>
      <c r="R25" s="774" t="s">
        <v>17</v>
      </c>
      <c r="S25" s="775">
        <f>F25</f>
        <v>100</v>
      </c>
      <c r="T25" s="774" t="s">
        <v>17</v>
      </c>
      <c r="U25" s="775">
        <f>H25</f>
        <v>100</v>
      </c>
      <c r="V25" s="774" t="s">
        <v>17</v>
      </c>
      <c r="W25" s="775">
        <f>J25</f>
        <v>100</v>
      </c>
      <c r="X25" s="1816"/>
      <c r="Y25" s="326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8"/>
      <c r="Q26" s="1813">
        <f t="shared" ref="Q26:Q40" si="11">B26</f>
        <v>111</v>
      </c>
      <c r="R26" s="774" t="s">
        <v>17</v>
      </c>
      <c r="S26" s="775">
        <f>F26</f>
        <v>100</v>
      </c>
      <c r="T26" s="774" t="s">
        <v>17</v>
      </c>
      <c r="U26" s="775">
        <f>H26</f>
        <v>100</v>
      </c>
      <c r="V26" s="774" t="s">
        <v>17</v>
      </c>
      <c r="W26" s="775">
        <f>J26</f>
        <v>100</v>
      </c>
      <c r="X26" s="1816"/>
      <c r="Y26" s="326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8"/>
      <c r="Q27" s="1798">
        <f t="shared" si="11"/>
        <v>111</v>
      </c>
      <c r="R27" s="770" t="s">
        <v>17</v>
      </c>
      <c r="S27" s="771">
        <f>F27</f>
        <v>100</v>
      </c>
      <c r="T27" s="770" t="s">
        <v>17</v>
      </c>
      <c r="U27" s="771">
        <f>H27</f>
        <v>100</v>
      </c>
      <c r="V27" s="770" t="s">
        <v>17</v>
      </c>
      <c r="W27" s="771">
        <f>J27</f>
        <v>100</v>
      </c>
      <c r="X27" s="772"/>
      <c r="Y27" s="326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8"/>
      <c r="Q28" s="1813">
        <f t="shared" si="11"/>
        <v>111</v>
      </c>
      <c r="R28" s="774" t="s">
        <v>17</v>
      </c>
      <c r="S28" s="775">
        <f t="shared" ref="S28:S40" si="12">F28</f>
        <v>100</v>
      </c>
      <c r="T28" s="774" t="s">
        <v>17</v>
      </c>
      <c r="U28" s="775">
        <f t="shared" ref="U28:U40" si="13">H28</f>
        <v>100</v>
      </c>
      <c r="V28" s="774" t="s">
        <v>17</v>
      </c>
      <c r="W28" s="775">
        <f t="shared" ref="W28:W40" si="14">J28</f>
        <v>100</v>
      </c>
      <c r="X28" s="1816"/>
      <c r="Y28" s="3268"/>
      <c r="Z28" s="1817">
        <f t="shared" ref="Z28:Z40" si="15">Q28</f>
        <v>111</v>
      </c>
      <c r="AA28" s="1814">
        <f t="shared" si="3"/>
        <v>1</v>
      </c>
      <c r="AB28" s="1814">
        <f t="shared" si="4"/>
        <v>1</v>
      </c>
      <c r="AC28" s="1814">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91" t="s">
        <v>2564</v>
      </c>
      <c r="Q29" s="1813" t="str">
        <f t="shared" si="11"/>
        <v>建筑类型</v>
      </c>
      <c r="R29" s="774" t="s">
        <v>17</v>
      </c>
      <c r="S29" s="775">
        <f t="shared" si="12"/>
        <v>100</v>
      </c>
      <c r="T29" s="774" t="s">
        <v>17</v>
      </c>
      <c r="U29" s="775">
        <f t="shared" si="13"/>
        <v>100</v>
      </c>
      <c r="V29" s="774" t="s">
        <v>17</v>
      </c>
      <c r="W29" s="775">
        <f t="shared" si="14"/>
        <v>100</v>
      </c>
      <c r="X29" s="1816"/>
      <c r="Y29" s="3272"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2"/>
      <c r="Q30" s="776" t="str">
        <f t="shared" si="11"/>
        <v>项目建筑规模</v>
      </c>
      <c r="R30" s="777" t="s">
        <v>17</v>
      </c>
      <c r="S30" s="778" t="e">
        <f t="shared" si="12"/>
        <v>#N/A</v>
      </c>
      <c r="T30" s="777" t="s">
        <v>17</v>
      </c>
      <c r="U30" s="778" t="e">
        <f t="shared" si="13"/>
        <v>#N/A</v>
      </c>
      <c r="V30" s="777" t="s">
        <v>17</v>
      </c>
      <c r="W30" s="778" t="e">
        <f t="shared" si="14"/>
        <v>#N/A</v>
      </c>
      <c r="X30" s="779"/>
      <c r="Y30" s="3272"/>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2"/>
      <c r="Q31" s="1813" t="str">
        <f t="shared" si="11"/>
        <v>建筑结构</v>
      </c>
      <c r="R31" s="774" t="s">
        <v>17</v>
      </c>
      <c r="S31" s="775">
        <f t="shared" si="12"/>
        <v>100</v>
      </c>
      <c r="T31" s="774" t="s">
        <v>17</v>
      </c>
      <c r="U31" s="775">
        <f t="shared" si="13"/>
        <v>100</v>
      </c>
      <c r="V31" s="774" t="s">
        <v>17</v>
      </c>
      <c r="W31" s="775">
        <f t="shared" si="14"/>
        <v>100</v>
      </c>
      <c r="X31" s="1816"/>
      <c r="Y31" s="3272"/>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2"/>
      <c r="Q32" s="1813" t="str">
        <f t="shared" si="11"/>
        <v>公共部分装修</v>
      </c>
      <c r="R32" s="774" t="s">
        <v>17</v>
      </c>
      <c r="S32" s="775">
        <f t="shared" si="12"/>
        <v>100</v>
      </c>
      <c r="T32" s="774" t="s">
        <v>17</v>
      </c>
      <c r="U32" s="775">
        <f t="shared" si="13"/>
        <v>100</v>
      </c>
      <c r="V32" s="774" t="s">
        <v>17</v>
      </c>
      <c r="W32" s="775">
        <f t="shared" si="14"/>
        <v>100</v>
      </c>
      <c r="X32" s="1816"/>
      <c r="Y32" s="3272"/>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2"/>
      <c r="Q33" s="1813" t="str">
        <f t="shared" si="11"/>
        <v>成新度</v>
      </c>
      <c r="R33" s="774" t="s">
        <v>17</v>
      </c>
      <c r="S33" s="775" t="e">
        <f t="shared" si="12"/>
        <v>#N/A</v>
      </c>
      <c r="T33" s="774" t="s">
        <v>17</v>
      </c>
      <c r="U33" s="775" t="e">
        <f t="shared" si="13"/>
        <v>#N/A</v>
      </c>
      <c r="V33" s="774" t="s">
        <v>17</v>
      </c>
      <c r="W33" s="775" t="e">
        <f t="shared" si="14"/>
        <v>#N/A</v>
      </c>
      <c r="X33" s="1816"/>
      <c r="Y33" s="3272"/>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2"/>
      <c r="Q34" s="1798" t="str">
        <f t="shared" si="11"/>
        <v>物业管理</v>
      </c>
      <c r="R34" s="770" t="s">
        <v>17</v>
      </c>
      <c r="S34" s="771">
        <f t="shared" si="12"/>
        <v>100</v>
      </c>
      <c r="T34" s="770" t="s">
        <v>17</v>
      </c>
      <c r="U34" s="771">
        <f t="shared" si="13"/>
        <v>100</v>
      </c>
      <c r="V34" s="770" t="s">
        <v>17</v>
      </c>
      <c r="W34" s="771">
        <f t="shared" si="14"/>
        <v>100</v>
      </c>
      <c r="X34" s="772"/>
      <c r="Y34" s="327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2" t="s">
        <v>2564</v>
      </c>
      <c r="Q35" s="1813" t="str">
        <f t="shared" si="11"/>
        <v>市政基础设施</v>
      </c>
      <c r="R35" s="774" t="s">
        <v>17</v>
      </c>
      <c r="S35" s="775">
        <f t="shared" si="12"/>
        <v>100</v>
      </c>
      <c r="T35" s="774" t="s">
        <v>17</v>
      </c>
      <c r="U35" s="775">
        <f t="shared" si="13"/>
        <v>100</v>
      </c>
      <c r="V35" s="774" t="s">
        <v>17</v>
      </c>
      <c r="W35" s="775">
        <f t="shared" si="14"/>
        <v>100</v>
      </c>
      <c r="X35" s="1816"/>
      <c r="Y35" s="3272"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2"/>
      <c r="Q36" s="1813" t="str">
        <f t="shared" si="11"/>
        <v>内部装修</v>
      </c>
      <c r="R36" s="774" t="s">
        <v>17</v>
      </c>
      <c r="S36" s="775">
        <f t="shared" si="12"/>
        <v>100</v>
      </c>
      <c r="T36" s="774" t="s">
        <v>17</v>
      </c>
      <c r="U36" s="775">
        <f t="shared" si="13"/>
        <v>100</v>
      </c>
      <c r="V36" s="774" t="s">
        <v>17</v>
      </c>
      <c r="W36" s="775">
        <f t="shared" si="14"/>
        <v>100</v>
      </c>
      <c r="X36" s="1816"/>
      <c r="Y36" s="3272"/>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2"/>
      <c r="Q37" s="1813" t="str">
        <f t="shared" si="11"/>
        <v>内部装修状况</v>
      </c>
      <c r="R37" s="774" t="s">
        <v>17</v>
      </c>
      <c r="S37" s="775">
        <f t="shared" si="12"/>
        <v>100</v>
      </c>
      <c r="T37" s="774" t="s">
        <v>17</v>
      </c>
      <c r="U37" s="775">
        <f t="shared" si="13"/>
        <v>100</v>
      </c>
      <c r="V37" s="774" t="s">
        <v>17</v>
      </c>
      <c r="W37" s="775">
        <f t="shared" si="14"/>
        <v>100</v>
      </c>
      <c r="X37" s="1816"/>
      <c r="Y37" s="327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2"/>
      <c r="Q38" s="776">
        <f t="shared" si="11"/>
        <v>111</v>
      </c>
      <c r="R38" s="777" t="s">
        <v>17</v>
      </c>
      <c r="S38" s="778">
        <f t="shared" si="12"/>
        <v>100</v>
      </c>
      <c r="T38" s="777" t="s">
        <v>17</v>
      </c>
      <c r="U38" s="778">
        <f t="shared" si="13"/>
        <v>100</v>
      </c>
      <c r="V38" s="777" t="s">
        <v>17</v>
      </c>
      <c r="W38" s="778">
        <f t="shared" si="14"/>
        <v>100</v>
      </c>
      <c r="X38" s="779"/>
      <c r="Y38" s="327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2"/>
      <c r="Q39" s="1813">
        <f t="shared" si="11"/>
        <v>111</v>
      </c>
      <c r="R39" s="774" t="s">
        <v>17</v>
      </c>
      <c r="S39" s="775">
        <f t="shared" si="12"/>
        <v>100</v>
      </c>
      <c r="T39" s="774" t="s">
        <v>17</v>
      </c>
      <c r="U39" s="775">
        <f t="shared" si="13"/>
        <v>100</v>
      </c>
      <c r="V39" s="774" t="s">
        <v>17</v>
      </c>
      <c r="W39" s="775">
        <f t="shared" si="14"/>
        <v>100</v>
      </c>
      <c r="X39" s="1816"/>
      <c r="Y39" s="3272"/>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3"/>
      <c r="Q40" s="1813">
        <f t="shared" si="11"/>
        <v>111</v>
      </c>
      <c r="R40" s="774" t="s">
        <v>17</v>
      </c>
      <c r="S40" s="775">
        <f t="shared" si="12"/>
        <v>100</v>
      </c>
      <c r="T40" s="774" t="s">
        <v>17</v>
      </c>
      <c r="U40" s="775">
        <f t="shared" si="13"/>
        <v>100</v>
      </c>
      <c r="V40" s="774" t="s">
        <v>17</v>
      </c>
      <c r="W40" s="775">
        <f t="shared" si="14"/>
        <v>100</v>
      </c>
      <c r="X40" s="1816"/>
      <c r="Y40" s="3273"/>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65" t="str">
        <f>A41</f>
        <v>成交单价（元/平方米）</v>
      </c>
      <c r="Q41" s="3265"/>
      <c r="R41" s="3266">
        <f>E41</f>
        <v>0</v>
      </c>
      <c r="S41" s="3266"/>
      <c r="T41" s="3266">
        <f>G41</f>
        <v>0</v>
      </c>
      <c r="U41" s="3266"/>
      <c r="V41" s="3266">
        <f>I41</f>
        <v>0</v>
      </c>
      <c r="W41" s="3266"/>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62" t="str">
        <f>A43</f>
        <v>估价对象XX用房的比较价值（楼面单价，元/平方米）</v>
      </c>
      <c r="Q43" s="3263"/>
      <c r="R43" s="3264" t="e">
        <f>IF(F1="售价",ROUND(AVERAGE(R42:V42),0),ROUND(AVERAGE(R42:V42),1))</f>
        <v>#DIV/0!</v>
      </c>
      <c r="S43" s="3264"/>
      <c r="T43" s="3264"/>
      <c r="U43" s="3264"/>
      <c r="V43" s="3264"/>
      <c r="W43" s="326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48" t="s">
        <v>2645</v>
      </c>
      <c r="D4" s="3249"/>
      <c r="E4" s="3250" t="s">
        <v>2646</v>
      </c>
      <c r="F4" s="3251"/>
      <c r="G4" s="3248" t="s">
        <v>2647</v>
      </c>
      <c r="H4" s="3249"/>
      <c r="I4" s="3248" t="s">
        <v>2648</v>
      </c>
      <c r="J4" s="3249"/>
      <c r="K4" s="610" t="s">
        <v>2649</v>
      </c>
      <c r="L4" s="1133"/>
      <c r="M4" s="1134"/>
      <c r="N4" s="1134"/>
      <c r="O4" s="1134"/>
      <c r="P4" s="3252" t="s">
        <v>2650</v>
      </c>
      <c r="Q4" s="3253"/>
      <c r="R4" s="3235" t="s">
        <v>2646</v>
      </c>
      <c r="S4" s="3236"/>
      <c r="T4" s="3235" t="s">
        <v>2647</v>
      </c>
      <c r="U4" s="3236"/>
      <c r="V4" s="3260" t="s">
        <v>2648</v>
      </c>
      <c r="W4" s="3260"/>
      <c r="X4" s="1816"/>
      <c r="Y4" s="3235" t="s">
        <v>2650</v>
      </c>
      <c r="Z4" s="3236"/>
      <c r="AA4" s="3230" t="s">
        <v>2646</v>
      </c>
      <c r="AB4" s="3231" t="s">
        <v>2647</v>
      </c>
      <c r="AC4" s="3230" t="s">
        <v>2648</v>
      </c>
    </row>
    <row r="5" spans="1:29" ht="15">
      <c r="A5" s="404"/>
      <c r="B5" s="405"/>
      <c r="C5" s="3241" t="s">
        <v>2541</v>
      </c>
      <c r="D5" s="3242"/>
      <c r="E5" s="3239" t="s">
        <v>2542</v>
      </c>
      <c r="F5" s="3240"/>
      <c r="G5" s="3241" t="s">
        <v>2543</v>
      </c>
      <c r="H5" s="3242"/>
      <c r="I5" s="3241" t="s">
        <v>2544</v>
      </c>
      <c r="J5" s="3242"/>
      <c r="K5" s="610"/>
      <c r="L5" s="1133"/>
      <c r="M5" s="1134"/>
      <c r="N5" s="1134"/>
      <c r="O5" s="1134"/>
      <c r="P5" s="3254"/>
      <c r="Q5" s="3255"/>
      <c r="R5" s="3237"/>
      <c r="S5" s="3238"/>
      <c r="T5" s="3237"/>
      <c r="U5" s="3238"/>
      <c r="V5" s="3260"/>
      <c r="W5" s="3260"/>
      <c r="X5" s="1816"/>
      <c r="Y5" s="3237"/>
      <c r="Z5" s="3238"/>
      <c r="AA5" s="3231"/>
      <c r="AB5" s="3231"/>
      <c r="AC5" s="3231"/>
    </row>
    <row r="6" spans="1:29" ht="15.75" thickBot="1">
      <c r="A6" s="406"/>
      <c r="B6" s="407"/>
      <c r="C6" s="3243" t="s">
        <v>2545</v>
      </c>
      <c r="D6" s="3244"/>
      <c r="E6" s="3245" t="s">
        <v>2545</v>
      </c>
      <c r="F6" s="3246"/>
      <c r="G6" s="3243" t="s">
        <v>2545</v>
      </c>
      <c r="H6" s="3244"/>
      <c r="I6" s="3243" t="s">
        <v>2545</v>
      </c>
      <c r="J6" s="3244"/>
      <c r="K6" s="610" t="s">
        <v>2546</v>
      </c>
      <c r="L6" s="1133"/>
      <c r="M6" s="1134"/>
      <c r="N6" s="1134"/>
      <c r="O6" s="1134"/>
      <c r="P6" s="3256"/>
      <c r="Q6" s="3257"/>
      <c r="R6" s="3237"/>
      <c r="S6" s="3238"/>
      <c r="T6" s="3258"/>
      <c r="U6" s="3259"/>
      <c r="V6" s="3260"/>
      <c r="W6" s="3260"/>
      <c r="X6" s="1816"/>
      <c r="Y6" s="3258"/>
      <c r="Z6" s="3259"/>
      <c r="AA6" s="3232"/>
      <c r="AB6" s="3232"/>
      <c r="AC6" s="3232"/>
    </row>
    <row r="7" spans="1:29" s="117" customFormat="1" ht="15.75" thickBot="1">
      <c r="A7" s="408" t="s">
        <v>2547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3" t="s">
        <v>2548</v>
      </c>
      <c r="Q7" s="3261"/>
      <c r="R7" s="770" t="s">
        <v>17</v>
      </c>
      <c r="S7" s="771">
        <f t="shared" ref="S7:S14" si="0">F7</f>
        <v>0</v>
      </c>
      <c r="T7" s="770" t="s">
        <v>17</v>
      </c>
      <c r="U7" s="771">
        <f t="shared" ref="U7:U14" si="1">H7</f>
        <v>0</v>
      </c>
      <c r="V7" s="770" t="s">
        <v>17</v>
      </c>
      <c r="W7" s="771">
        <f t="shared" ref="W7:W14" si="2">J7</f>
        <v>0</v>
      </c>
      <c r="X7" s="772"/>
      <c r="Y7" s="3233" t="s">
        <v>2548</v>
      </c>
      <c r="Z7" s="3234"/>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3" t="s">
        <v>2551</v>
      </c>
      <c r="Q8" s="3234"/>
      <c r="R8" s="770" t="s">
        <v>17</v>
      </c>
      <c r="S8" s="771">
        <f t="shared" si="0"/>
        <v>0</v>
      </c>
      <c r="T8" s="770" t="s">
        <v>17</v>
      </c>
      <c r="U8" s="771">
        <f t="shared" si="1"/>
        <v>0</v>
      </c>
      <c r="V8" s="770" t="s">
        <v>17</v>
      </c>
      <c r="W8" s="771">
        <f t="shared" si="2"/>
        <v>0</v>
      </c>
      <c r="X8" s="772"/>
      <c r="Y8" s="3233" t="s">
        <v>2551</v>
      </c>
      <c r="Z8" s="3234"/>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65" t="s">
        <v>2554</v>
      </c>
      <c r="Q9" s="1798" t="str">
        <f t="shared" ref="Q9:Q14" si="6">B9</f>
        <v>用途</v>
      </c>
      <c r="R9" s="770" t="s">
        <v>17</v>
      </c>
      <c r="S9" s="771">
        <f t="shared" si="0"/>
        <v>100</v>
      </c>
      <c r="T9" s="770" t="s">
        <v>17</v>
      </c>
      <c r="U9" s="771">
        <f t="shared" si="1"/>
        <v>100</v>
      </c>
      <c r="V9" s="770" t="s">
        <v>17</v>
      </c>
      <c r="W9" s="771">
        <f t="shared" si="2"/>
        <v>100</v>
      </c>
      <c r="X9" s="772"/>
      <c r="Y9" s="306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5"/>
      <c r="Q10" s="1798"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5"/>
      <c r="Q11" s="1798">
        <f t="shared" si="6"/>
        <v>111</v>
      </c>
      <c r="R11" s="770" t="s">
        <v>17</v>
      </c>
      <c r="S11" s="771">
        <f t="shared" si="0"/>
        <v>100</v>
      </c>
      <c r="T11" s="770" t="s">
        <v>17</v>
      </c>
      <c r="U11" s="771">
        <f t="shared" si="1"/>
        <v>100</v>
      </c>
      <c r="V11" s="770" t="s">
        <v>17</v>
      </c>
      <c r="W11" s="771">
        <f t="shared" si="2"/>
        <v>100</v>
      </c>
      <c r="X11" s="772"/>
      <c r="Y11" s="306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5"/>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5"/>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7" t="s">
        <v>2559</v>
      </c>
      <c r="Q14" s="1813" t="str">
        <f t="shared" si="6"/>
        <v>交通便捷度</v>
      </c>
      <c r="R14" s="774" t="s">
        <v>17</v>
      </c>
      <c r="S14" s="775">
        <f t="shared" si="0"/>
        <v>100</v>
      </c>
      <c r="T14" s="774" t="s">
        <v>17</v>
      </c>
      <c r="U14" s="775">
        <f t="shared" si="1"/>
        <v>100</v>
      </c>
      <c r="V14" s="774" t="s">
        <v>17</v>
      </c>
      <c r="W14" s="775">
        <f t="shared" si="2"/>
        <v>100</v>
      </c>
      <c r="X14" s="1816"/>
      <c r="Y14" s="3267"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8"/>
      <c r="Q15" s="1813"/>
      <c r="R15" s="774"/>
      <c r="S15" s="775"/>
      <c r="T15" s="774"/>
      <c r="U15" s="775"/>
      <c r="V15" s="774"/>
      <c r="W15" s="775"/>
      <c r="X15" s="1816"/>
      <c r="Y15" s="3268"/>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8"/>
      <c r="Q16" s="1813" t="str">
        <f>B16</f>
        <v>公共配套设施</v>
      </c>
      <c r="R16" s="774" t="s">
        <v>17</v>
      </c>
      <c r="S16" s="775">
        <f>F16</f>
        <v>100</v>
      </c>
      <c r="T16" s="774" t="s">
        <v>17</v>
      </c>
      <c r="U16" s="775">
        <f>H16</f>
        <v>100</v>
      </c>
      <c r="V16" s="774" t="s">
        <v>17</v>
      </c>
      <c r="W16" s="775">
        <f>J16</f>
        <v>100</v>
      </c>
      <c r="X16" s="1816"/>
      <c r="Y16" s="3268"/>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68"/>
      <c r="Q17" s="1813"/>
      <c r="R17" s="774"/>
      <c r="S17" s="775"/>
      <c r="T17" s="774"/>
      <c r="U17" s="775"/>
      <c r="V17" s="774"/>
      <c r="W17" s="775"/>
      <c r="X17" s="1816"/>
      <c r="Y17" s="3268"/>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8"/>
      <c r="Q18" s="1813" t="str">
        <f>B18</f>
        <v>基础设施水平</v>
      </c>
      <c r="R18" s="774" t="s">
        <v>17</v>
      </c>
      <c r="S18" s="775">
        <f>F18</f>
        <v>100</v>
      </c>
      <c r="T18" s="774" t="s">
        <v>17</v>
      </c>
      <c r="U18" s="775">
        <f>H18</f>
        <v>100</v>
      </c>
      <c r="V18" s="774" t="s">
        <v>17</v>
      </c>
      <c r="W18" s="775">
        <f>J18</f>
        <v>100</v>
      </c>
      <c r="X18" s="1816"/>
      <c r="Y18" s="3268"/>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68"/>
      <c r="Q19" s="1813"/>
      <c r="R19" s="774"/>
      <c r="S19" s="775"/>
      <c r="T19" s="774"/>
      <c r="U19" s="775"/>
      <c r="V19" s="774"/>
      <c r="W19" s="775"/>
      <c r="X19" s="1816"/>
      <c r="Y19" s="3268"/>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8"/>
      <c r="Q20" s="1813" t="str">
        <f>B20</f>
        <v>自然及人文环境</v>
      </c>
      <c r="R20" s="774" t="s">
        <v>17</v>
      </c>
      <c r="S20" s="775">
        <f>F20</f>
        <v>100</v>
      </c>
      <c r="T20" s="774" t="s">
        <v>17</v>
      </c>
      <c r="U20" s="775">
        <f>H20</f>
        <v>100</v>
      </c>
      <c r="V20" s="774" t="s">
        <v>17</v>
      </c>
      <c r="W20" s="775">
        <f>J20</f>
        <v>100</v>
      </c>
      <c r="X20" s="1816"/>
      <c r="Y20" s="326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8"/>
      <c r="Q21" s="1813"/>
      <c r="R21" s="774"/>
      <c r="S21" s="775"/>
      <c r="T21" s="774"/>
      <c r="U21" s="775"/>
      <c r="V21" s="774"/>
      <c r="W21" s="775"/>
      <c r="X21" s="1816"/>
      <c r="Y21" s="3268"/>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8"/>
      <c r="Q22" s="1813" t="str">
        <f>B22</f>
        <v>楼层</v>
      </c>
      <c r="R22" s="774" t="s">
        <v>17</v>
      </c>
      <c r="S22" s="775">
        <f>F22</f>
        <v>100</v>
      </c>
      <c r="T22" s="774" t="s">
        <v>17</v>
      </c>
      <c r="U22" s="775">
        <f>H22</f>
        <v>100</v>
      </c>
      <c r="V22" s="774" t="s">
        <v>17</v>
      </c>
      <c r="W22" s="775">
        <f>J22</f>
        <v>100</v>
      </c>
      <c r="X22" s="1816"/>
      <c r="Y22" s="326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8"/>
      <c r="Q23" s="1813">
        <f>B23</f>
        <v>111</v>
      </c>
      <c r="R23" s="774" t="s">
        <v>17</v>
      </c>
      <c r="S23" s="775">
        <f>F23</f>
        <v>100</v>
      </c>
      <c r="T23" s="774" t="s">
        <v>17</v>
      </c>
      <c r="U23" s="775">
        <f>H23</f>
        <v>100</v>
      </c>
      <c r="V23" s="774" t="s">
        <v>17</v>
      </c>
      <c r="W23" s="775">
        <f>J23</f>
        <v>100</v>
      </c>
      <c r="X23" s="1816"/>
      <c r="Y23" s="326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8"/>
      <c r="Q24" s="1813">
        <f t="shared" ref="Q24:Q36" si="11">B24</f>
        <v>111</v>
      </c>
      <c r="R24" s="774" t="s">
        <v>17</v>
      </c>
      <c r="S24" s="775">
        <f>F24</f>
        <v>100</v>
      </c>
      <c r="T24" s="774" t="s">
        <v>17</v>
      </c>
      <c r="U24" s="775">
        <f>H24</f>
        <v>100</v>
      </c>
      <c r="V24" s="774" t="s">
        <v>17</v>
      </c>
      <c r="W24" s="775">
        <f>J24</f>
        <v>100</v>
      </c>
      <c r="X24" s="1816"/>
      <c r="Y24" s="326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8"/>
      <c r="Q25" s="1798">
        <f t="shared" si="11"/>
        <v>111</v>
      </c>
      <c r="R25" s="770" t="s">
        <v>17</v>
      </c>
      <c r="S25" s="771">
        <f>F25</f>
        <v>100</v>
      </c>
      <c r="T25" s="770" t="s">
        <v>17</v>
      </c>
      <c r="U25" s="771">
        <f>H25</f>
        <v>100</v>
      </c>
      <c r="V25" s="770" t="s">
        <v>17</v>
      </c>
      <c r="W25" s="771">
        <f>J25</f>
        <v>100</v>
      </c>
      <c r="X25" s="772"/>
      <c r="Y25" s="3268"/>
      <c r="Z25" s="55">
        <f>Q25</f>
        <v>111</v>
      </c>
      <c r="AA25" s="1814">
        <f>D25/F25</f>
        <v>1</v>
      </c>
      <c r="AB25" s="1814">
        <f>D25/H25</f>
        <v>1</v>
      </c>
      <c r="AC25" s="1814">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91"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2"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2"/>
      <c r="Q27" s="776" t="str">
        <f t="shared" si="11"/>
        <v>项目停车位配比</v>
      </c>
      <c r="R27" s="777" t="s">
        <v>17</v>
      </c>
      <c r="S27" s="778">
        <f t="shared" si="12"/>
        <v>100</v>
      </c>
      <c r="T27" s="777" t="s">
        <v>17</v>
      </c>
      <c r="U27" s="778">
        <f t="shared" si="13"/>
        <v>100</v>
      </c>
      <c r="V27" s="777" t="s">
        <v>17</v>
      </c>
      <c r="W27" s="778">
        <f t="shared" si="14"/>
        <v>100</v>
      </c>
      <c r="X27" s="779"/>
      <c r="Y27" s="3272"/>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2"/>
      <c r="Q28" s="1813" t="str">
        <f t="shared" si="11"/>
        <v>公共部分装修</v>
      </c>
      <c r="R28" s="774" t="s">
        <v>17</v>
      </c>
      <c r="S28" s="775">
        <f t="shared" si="12"/>
        <v>100</v>
      </c>
      <c r="T28" s="774" t="s">
        <v>17</v>
      </c>
      <c r="U28" s="775">
        <f t="shared" si="13"/>
        <v>100</v>
      </c>
      <c r="V28" s="774" t="s">
        <v>17</v>
      </c>
      <c r="W28" s="775">
        <f t="shared" si="14"/>
        <v>100</v>
      </c>
      <c r="X28" s="1816"/>
      <c r="Y28" s="3272"/>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2"/>
      <c r="Q29" s="1813" t="str">
        <f t="shared" si="11"/>
        <v>成新率</v>
      </c>
      <c r="R29" s="774" t="s">
        <v>17</v>
      </c>
      <c r="S29" s="775" t="e">
        <f t="shared" si="12"/>
        <v>#N/A</v>
      </c>
      <c r="T29" s="774" t="s">
        <v>17</v>
      </c>
      <c r="U29" s="775" t="e">
        <f t="shared" si="13"/>
        <v>#N/A</v>
      </c>
      <c r="V29" s="774" t="s">
        <v>17</v>
      </c>
      <c r="W29" s="775" t="e">
        <f t="shared" si="14"/>
        <v>#N/A</v>
      </c>
      <c r="X29" s="1816"/>
      <c r="Y29" s="3272"/>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2"/>
      <c r="Q30" s="1813" t="str">
        <f t="shared" si="11"/>
        <v>物业等级</v>
      </c>
      <c r="R30" s="774" t="s">
        <v>17</v>
      </c>
      <c r="S30" s="775">
        <f t="shared" si="12"/>
        <v>100</v>
      </c>
      <c r="T30" s="774" t="s">
        <v>17</v>
      </c>
      <c r="U30" s="775">
        <f t="shared" si="13"/>
        <v>100</v>
      </c>
      <c r="V30" s="774" t="s">
        <v>17</v>
      </c>
      <c r="W30" s="775">
        <f t="shared" si="14"/>
        <v>100</v>
      </c>
      <c r="X30" s="1816"/>
      <c r="Y30" s="3272"/>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2"/>
      <c r="Q31" s="1798" t="str">
        <f t="shared" si="11"/>
        <v>停车位面积</v>
      </c>
      <c r="R31" s="770" t="s">
        <v>17</v>
      </c>
      <c r="S31" s="771" t="e">
        <f t="shared" si="12"/>
        <v>#N/A</v>
      </c>
      <c r="T31" s="770" t="s">
        <v>17</v>
      </c>
      <c r="U31" s="771" t="e">
        <f t="shared" si="13"/>
        <v>#N/A</v>
      </c>
      <c r="V31" s="770" t="s">
        <v>17</v>
      </c>
      <c r="W31" s="771" t="e">
        <f t="shared" si="14"/>
        <v>#N/A</v>
      </c>
      <c r="X31" s="772"/>
      <c r="Y31" s="327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2" t="s">
        <v>2564</v>
      </c>
      <c r="Q32" s="1813" t="str">
        <f t="shared" si="11"/>
        <v>车位类型</v>
      </c>
      <c r="R32" s="774" t="s">
        <v>17</v>
      </c>
      <c r="S32" s="775">
        <f t="shared" si="12"/>
        <v>100</v>
      </c>
      <c r="T32" s="774" t="s">
        <v>17</v>
      </c>
      <c r="U32" s="775">
        <f t="shared" si="13"/>
        <v>100</v>
      </c>
      <c r="V32" s="774" t="s">
        <v>17</v>
      </c>
      <c r="W32" s="775">
        <f t="shared" si="14"/>
        <v>100</v>
      </c>
      <c r="X32" s="1816"/>
      <c r="Y32" s="3272"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2"/>
      <c r="Q33" s="1813" t="str">
        <f t="shared" si="11"/>
        <v>是否直接入户</v>
      </c>
      <c r="R33" s="774" t="s">
        <v>17</v>
      </c>
      <c r="S33" s="775">
        <f t="shared" si="12"/>
        <v>100</v>
      </c>
      <c r="T33" s="774" t="s">
        <v>17</v>
      </c>
      <c r="U33" s="775">
        <f t="shared" si="13"/>
        <v>100</v>
      </c>
      <c r="V33" s="774" t="s">
        <v>17</v>
      </c>
      <c r="W33" s="775">
        <f t="shared" si="14"/>
        <v>100</v>
      </c>
      <c r="X33" s="1816"/>
      <c r="Y33" s="327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2"/>
      <c r="Q34" s="1813">
        <f t="shared" si="11"/>
        <v>111</v>
      </c>
      <c r="R34" s="774" t="s">
        <v>17</v>
      </c>
      <c r="S34" s="775">
        <f t="shared" si="12"/>
        <v>100</v>
      </c>
      <c r="T34" s="774" t="s">
        <v>17</v>
      </c>
      <c r="U34" s="775">
        <f t="shared" si="13"/>
        <v>100</v>
      </c>
      <c r="V34" s="774" t="s">
        <v>17</v>
      </c>
      <c r="W34" s="775">
        <f t="shared" si="14"/>
        <v>100</v>
      </c>
      <c r="X34" s="1816"/>
      <c r="Y34" s="327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2"/>
      <c r="Q35" s="776">
        <f t="shared" si="11"/>
        <v>111</v>
      </c>
      <c r="R35" s="777" t="s">
        <v>17</v>
      </c>
      <c r="S35" s="778">
        <f t="shared" si="12"/>
        <v>100</v>
      </c>
      <c r="T35" s="777" t="s">
        <v>17</v>
      </c>
      <c r="U35" s="778">
        <f t="shared" si="13"/>
        <v>100</v>
      </c>
      <c r="V35" s="777" t="s">
        <v>17</v>
      </c>
      <c r="W35" s="778">
        <f t="shared" si="14"/>
        <v>100</v>
      </c>
      <c r="X35" s="779"/>
      <c r="Y35" s="327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2"/>
      <c r="Q36" s="1813">
        <f t="shared" si="11"/>
        <v>111</v>
      </c>
      <c r="R36" s="774" t="s">
        <v>17</v>
      </c>
      <c r="S36" s="775">
        <f t="shared" si="12"/>
        <v>100</v>
      </c>
      <c r="T36" s="774" t="s">
        <v>17</v>
      </c>
      <c r="U36" s="775">
        <f t="shared" si="13"/>
        <v>100</v>
      </c>
      <c r="V36" s="774" t="s">
        <v>17</v>
      </c>
      <c r="W36" s="775">
        <f t="shared" si="14"/>
        <v>100</v>
      </c>
      <c r="X36" s="1816"/>
      <c r="Y36" s="3272"/>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65" t="str">
        <f>A37</f>
        <v>成交单价</v>
      </c>
      <c r="Q37" s="3265"/>
      <c r="R37" s="3266">
        <f>E37</f>
        <v>0</v>
      </c>
      <c r="S37" s="3266"/>
      <c r="T37" s="3266">
        <f>G37</f>
        <v>0</v>
      </c>
      <c r="U37" s="3266"/>
      <c r="V37" s="3266">
        <f>I37</f>
        <v>0</v>
      </c>
      <c r="W37" s="3266"/>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62" t="str">
        <f>A39</f>
        <v>估价对象XX用房的比较价值（楼面单价，元/平方米）</v>
      </c>
      <c r="Q39" s="3263"/>
      <c r="R39" s="3264" t="e">
        <f>IF(F1="售价",ROUND(AVERAGE(R38:V38),0),ROUND(AVERAGE(R38:V38),1))</f>
        <v>#DIV/0!</v>
      </c>
      <c r="S39" s="3264"/>
      <c r="T39" s="3264"/>
      <c r="U39" s="3264"/>
      <c r="V39" s="3264"/>
      <c r="W39" s="326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48" t="s">
        <v>2645</v>
      </c>
      <c r="D4" s="3249"/>
      <c r="E4" s="3250" t="s">
        <v>2646</v>
      </c>
      <c r="F4" s="3251"/>
      <c r="G4" s="3248" t="s">
        <v>2647</v>
      </c>
      <c r="H4" s="3249"/>
      <c r="I4" s="3248" t="s">
        <v>2648</v>
      </c>
      <c r="J4" s="3249"/>
      <c r="K4" s="610" t="s">
        <v>2649</v>
      </c>
      <c r="L4" s="1133"/>
      <c r="M4" s="1134"/>
      <c r="N4" s="1134"/>
      <c r="O4" s="1134"/>
      <c r="P4" s="3252" t="s">
        <v>2650</v>
      </c>
      <c r="Q4" s="3253"/>
      <c r="R4" s="3235" t="s">
        <v>2646</v>
      </c>
      <c r="S4" s="3236"/>
      <c r="T4" s="3235" t="s">
        <v>2647</v>
      </c>
      <c r="U4" s="3236"/>
      <c r="V4" s="3260" t="s">
        <v>2648</v>
      </c>
      <c r="W4" s="3260"/>
      <c r="X4" s="1816"/>
      <c r="Y4" s="3235" t="s">
        <v>2650</v>
      </c>
      <c r="Z4" s="3236"/>
      <c r="AA4" s="3230" t="s">
        <v>2646</v>
      </c>
      <c r="AB4" s="3231" t="s">
        <v>2647</v>
      </c>
      <c r="AC4" s="3230" t="s">
        <v>2648</v>
      </c>
    </row>
    <row r="5" spans="1:29" ht="15">
      <c r="A5" s="404"/>
      <c r="B5" s="405"/>
      <c r="C5" s="3241" t="s">
        <v>2541</v>
      </c>
      <c r="D5" s="3242"/>
      <c r="E5" s="3239" t="s">
        <v>2542</v>
      </c>
      <c r="F5" s="3240"/>
      <c r="G5" s="3241" t="s">
        <v>2543</v>
      </c>
      <c r="H5" s="3242"/>
      <c r="I5" s="3241" t="s">
        <v>2544</v>
      </c>
      <c r="J5" s="3242"/>
      <c r="K5" s="610"/>
      <c r="L5" s="1133"/>
      <c r="M5" s="1134"/>
      <c r="N5" s="1134"/>
      <c r="O5" s="1134"/>
      <c r="P5" s="3254"/>
      <c r="Q5" s="3255"/>
      <c r="R5" s="3237"/>
      <c r="S5" s="3238"/>
      <c r="T5" s="3237"/>
      <c r="U5" s="3238"/>
      <c r="V5" s="3260"/>
      <c r="W5" s="3260"/>
      <c r="X5" s="1816"/>
      <c r="Y5" s="3237"/>
      <c r="Z5" s="3238"/>
      <c r="AA5" s="3231"/>
      <c r="AB5" s="3231"/>
      <c r="AC5" s="3231"/>
    </row>
    <row r="6" spans="1:29" ht="15.75" thickBot="1">
      <c r="A6" s="406"/>
      <c r="B6" s="407"/>
      <c r="C6" s="3243" t="s">
        <v>2545</v>
      </c>
      <c r="D6" s="3244"/>
      <c r="E6" s="3245" t="s">
        <v>2545</v>
      </c>
      <c r="F6" s="3246"/>
      <c r="G6" s="3243" t="s">
        <v>2545</v>
      </c>
      <c r="H6" s="3244"/>
      <c r="I6" s="3243" t="s">
        <v>2545</v>
      </c>
      <c r="J6" s="3244"/>
      <c r="K6" s="610" t="s">
        <v>2546</v>
      </c>
      <c r="L6" s="1133"/>
      <c r="M6" s="1134"/>
      <c r="N6" s="1134"/>
      <c r="O6" s="1134"/>
      <c r="P6" s="3256"/>
      <c r="Q6" s="3257"/>
      <c r="R6" s="3237"/>
      <c r="S6" s="3238"/>
      <c r="T6" s="3258"/>
      <c r="U6" s="3259"/>
      <c r="V6" s="3260"/>
      <c r="W6" s="3260"/>
      <c r="X6" s="1816"/>
      <c r="Y6" s="3258"/>
      <c r="Z6" s="3259"/>
      <c r="AA6" s="3232"/>
      <c r="AB6" s="3232"/>
      <c r="AC6" s="3232"/>
    </row>
    <row r="7" spans="1:29" s="117" customFormat="1" ht="15.75" thickBot="1">
      <c r="A7" s="408" t="s">
        <v>2547</v>
      </c>
      <c r="B7" s="409"/>
      <c r="C7" s="410">
        <f>'数据-取费表'!B2</f>
        <v>43598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33" t="s">
        <v>2548</v>
      </c>
      <c r="Q7" s="3261"/>
      <c r="R7" s="770" t="s">
        <v>17</v>
      </c>
      <c r="S7" s="771">
        <f t="shared" ref="S7:S14" si="0">F7</f>
        <v>0</v>
      </c>
      <c r="T7" s="770" t="s">
        <v>17</v>
      </c>
      <c r="U7" s="771">
        <f t="shared" ref="U7:U14" si="1">H7</f>
        <v>0</v>
      </c>
      <c r="V7" s="770" t="s">
        <v>17</v>
      </c>
      <c r="W7" s="771">
        <f t="shared" ref="W7:W14" si="2">J7</f>
        <v>0</v>
      </c>
      <c r="X7" s="772"/>
      <c r="Y7" s="3233" t="s">
        <v>2548</v>
      </c>
      <c r="Z7" s="3234"/>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3" t="s">
        <v>2551</v>
      </c>
      <c r="Q8" s="3234"/>
      <c r="R8" s="770" t="s">
        <v>17</v>
      </c>
      <c r="S8" s="771">
        <f t="shared" si="0"/>
        <v>0</v>
      </c>
      <c r="T8" s="770" t="s">
        <v>17</v>
      </c>
      <c r="U8" s="771">
        <f t="shared" si="1"/>
        <v>0</v>
      </c>
      <c r="V8" s="770" t="s">
        <v>17</v>
      </c>
      <c r="W8" s="771">
        <f t="shared" si="2"/>
        <v>0</v>
      </c>
      <c r="X8" s="772"/>
      <c r="Y8" s="3233" t="s">
        <v>2551</v>
      </c>
      <c r="Z8" s="3234"/>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5" t="s">
        <v>2554</v>
      </c>
      <c r="Q9" s="1798" t="str">
        <f t="shared" ref="Q9:Q14" si="6">B9</f>
        <v>用途</v>
      </c>
      <c r="R9" s="770" t="s">
        <v>17</v>
      </c>
      <c r="S9" s="771">
        <f t="shared" si="0"/>
        <v>100</v>
      </c>
      <c r="T9" s="770" t="s">
        <v>17</v>
      </c>
      <c r="U9" s="771">
        <f t="shared" si="1"/>
        <v>100</v>
      </c>
      <c r="V9" s="770" t="s">
        <v>17</v>
      </c>
      <c r="W9" s="771">
        <f t="shared" si="2"/>
        <v>100</v>
      </c>
      <c r="X9" s="772"/>
      <c r="Y9" s="306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5"/>
      <c r="Q10" s="1798"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5"/>
      <c r="Q11" s="1798">
        <f t="shared" si="6"/>
        <v>111</v>
      </c>
      <c r="R11" s="770" t="s">
        <v>17</v>
      </c>
      <c r="S11" s="771">
        <f t="shared" si="0"/>
        <v>100</v>
      </c>
      <c r="T11" s="770" t="s">
        <v>17</v>
      </c>
      <c r="U11" s="771">
        <f t="shared" si="1"/>
        <v>100</v>
      </c>
      <c r="V11" s="770" t="s">
        <v>17</v>
      </c>
      <c r="W11" s="771">
        <f t="shared" si="2"/>
        <v>100</v>
      </c>
      <c r="X11" s="772"/>
      <c r="Y11" s="3069"/>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5"/>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7" t="s">
        <v>2559</v>
      </c>
      <c r="Q14" s="1813" t="str">
        <f t="shared" si="6"/>
        <v>交通便捷度</v>
      </c>
      <c r="R14" s="774" t="s">
        <v>17</v>
      </c>
      <c r="S14" s="775">
        <f t="shared" si="0"/>
        <v>100</v>
      </c>
      <c r="T14" s="774" t="s">
        <v>17</v>
      </c>
      <c r="U14" s="775">
        <f t="shared" si="1"/>
        <v>100</v>
      </c>
      <c r="V14" s="774" t="s">
        <v>17</v>
      </c>
      <c r="W14" s="775">
        <f t="shared" si="2"/>
        <v>100</v>
      </c>
      <c r="X14" s="1816"/>
      <c r="Y14" s="3267"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8"/>
      <c r="Q15" s="1813"/>
      <c r="R15" s="774"/>
      <c r="S15" s="775"/>
      <c r="T15" s="774"/>
      <c r="U15" s="775"/>
      <c r="V15" s="774"/>
      <c r="W15" s="775"/>
      <c r="X15" s="1816"/>
      <c r="Y15" s="3268"/>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8"/>
      <c r="Q16" s="1813" t="str">
        <f>B16</f>
        <v>公共配套设施</v>
      </c>
      <c r="R16" s="774" t="s">
        <v>17</v>
      </c>
      <c r="S16" s="775">
        <f>F16</f>
        <v>100</v>
      </c>
      <c r="T16" s="774" t="s">
        <v>17</v>
      </c>
      <c r="U16" s="775">
        <f>H16</f>
        <v>100</v>
      </c>
      <c r="V16" s="774" t="s">
        <v>17</v>
      </c>
      <c r="W16" s="775">
        <f>J16</f>
        <v>100</v>
      </c>
      <c r="X16" s="1816"/>
      <c r="Y16" s="3268"/>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68"/>
      <c r="Q17" s="1813"/>
      <c r="R17" s="774"/>
      <c r="S17" s="775"/>
      <c r="T17" s="774"/>
      <c r="U17" s="775"/>
      <c r="V17" s="774"/>
      <c r="W17" s="775"/>
      <c r="X17" s="1816"/>
      <c r="Y17" s="3268"/>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8"/>
      <c r="Q18" s="1813" t="str">
        <f>B18</f>
        <v>基础设施水平</v>
      </c>
      <c r="R18" s="774" t="s">
        <v>17</v>
      </c>
      <c r="S18" s="775">
        <f>F18</f>
        <v>100</v>
      </c>
      <c r="T18" s="774" t="s">
        <v>17</v>
      </c>
      <c r="U18" s="775">
        <f>H18</f>
        <v>100</v>
      </c>
      <c r="V18" s="774" t="s">
        <v>17</v>
      </c>
      <c r="W18" s="775">
        <f>J18</f>
        <v>100</v>
      </c>
      <c r="X18" s="1816"/>
      <c r="Y18" s="3268"/>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68"/>
      <c r="Q19" s="1813"/>
      <c r="R19" s="774"/>
      <c r="S19" s="775"/>
      <c r="T19" s="774"/>
      <c r="U19" s="775"/>
      <c r="V19" s="774"/>
      <c r="W19" s="775"/>
      <c r="X19" s="1816"/>
      <c r="Y19" s="3268"/>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8"/>
      <c r="Q20" s="1813" t="str">
        <f>B20</f>
        <v>自然及人文环境</v>
      </c>
      <c r="R20" s="774" t="s">
        <v>17</v>
      </c>
      <c r="S20" s="775">
        <f>F20</f>
        <v>100</v>
      </c>
      <c r="T20" s="774" t="s">
        <v>17</v>
      </c>
      <c r="U20" s="775">
        <f>H20</f>
        <v>100</v>
      </c>
      <c r="V20" s="774" t="s">
        <v>17</v>
      </c>
      <c r="W20" s="775">
        <f>J20</f>
        <v>100</v>
      </c>
      <c r="X20" s="1816"/>
      <c r="Y20" s="326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8"/>
      <c r="Q21" s="1813"/>
      <c r="R21" s="774"/>
      <c r="S21" s="775"/>
      <c r="T21" s="774"/>
      <c r="U21" s="775"/>
      <c r="V21" s="774"/>
      <c r="W21" s="775"/>
      <c r="X21" s="1816"/>
      <c r="Y21" s="3268"/>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8"/>
      <c r="Q22" s="1813" t="str">
        <f>B22</f>
        <v>楼层</v>
      </c>
      <c r="R22" s="774" t="s">
        <v>17</v>
      </c>
      <c r="S22" s="775">
        <f>F22</f>
        <v>100</v>
      </c>
      <c r="T22" s="774" t="s">
        <v>17</v>
      </c>
      <c r="U22" s="775">
        <f>H22</f>
        <v>100</v>
      </c>
      <c r="V22" s="774" t="s">
        <v>17</v>
      </c>
      <c r="W22" s="775">
        <f>J22</f>
        <v>100</v>
      </c>
      <c r="X22" s="1816"/>
      <c r="Y22" s="3268"/>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8"/>
      <c r="Q23" s="1813">
        <f>B23</f>
        <v>111</v>
      </c>
      <c r="R23" s="774" t="s">
        <v>17</v>
      </c>
      <c r="S23" s="775">
        <f>F23</f>
        <v>100</v>
      </c>
      <c r="T23" s="774" t="s">
        <v>17</v>
      </c>
      <c r="U23" s="775">
        <f>H23</f>
        <v>100</v>
      </c>
      <c r="V23" s="774" t="s">
        <v>17</v>
      </c>
      <c r="W23" s="775">
        <f>J23</f>
        <v>100</v>
      </c>
      <c r="X23" s="1816"/>
      <c r="Y23" s="3268"/>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8"/>
      <c r="Q24" s="1813">
        <f t="shared" ref="Q24:Q34" si="11">B24</f>
        <v>111</v>
      </c>
      <c r="R24" s="774" t="s">
        <v>17</v>
      </c>
      <c r="S24" s="775">
        <f>F24</f>
        <v>100</v>
      </c>
      <c r="T24" s="774" t="s">
        <v>17</v>
      </c>
      <c r="U24" s="775">
        <f>H24</f>
        <v>100</v>
      </c>
      <c r="V24" s="774" t="s">
        <v>17</v>
      </c>
      <c r="W24" s="775">
        <f>J24</f>
        <v>100</v>
      </c>
      <c r="X24" s="1816"/>
      <c r="Y24" s="3268"/>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68"/>
      <c r="Q25" s="1798">
        <f t="shared" si="11"/>
        <v>111</v>
      </c>
      <c r="R25" s="770" t="s">
        <v>17</v>
      </c>
      <c r="S25" s="771">
        <f>F25</f>
        <v>100</v>
      </c>
      <c r="T25" s="770" t="s">
        <v>17</v>
      </c>
      <c r="U25" s="771">
        <f>H25</f>
        <v>100</v>
      </c>
      <c r="V25" s="770" t="s">
        <v>17</v>
      </c>
      <c r="W25" s="771">
        <f>J25</f>
        <v>100</v>
      </c>
      <c r="X25" s="772"/>
      <c r="Y25" s="3268"/>
      <c r="Z25" s="55">
        <f>Q25</f>
        <v>111</v>
      </c>
      <c r="AA25" s="1814">
        <f>D25/F25</f>
        <v>1</v>
      </c>
      <c r="AB25" s="1814">
        <f>D25/H25</f>
        <v>1</v>
      </c>
      <c r="AC25" s="1814">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91"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2"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2"/>
      <c r="Q27" s="776" t="str">
        <f t="shared" si="11"/>
        <v>成新率</v>
      </c>
      <c r="R27" s="777" t="s">
        <v>17</v>
      </c>
      <c r="S27" s="778" t="e">
        <f t="shared" si="12"/>
        <v>#N/A</v>
      </c>
      <c r="T27" s="777" t="s">
        <v>17</v>
      </c>
      <c r="U27" s="778" t="e">
        <f t="shared" si="13"/>
        <v>#N/A</v>
      </c>
      <c r="V27" s="777" t="s">
        <v>17</v>
      </c>
      <c r="W27" s="778" t="e">
        <f t="shared" si="14"/>
        <v>#N/A</v>
      </c>
      <c r="X27" s="779"/>
      <c r="Y27" s="3272"/>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2"/>
      <c r="Q28" s="1813" t="str">
        <f t="shared" si="11"/>
        <v>物业等级</v>
      </c>
      <c r="R28" s="774" t="s">
        <v>17</v>
      </c>
      <c r="S28" s="775">
        <f t="shared" si="12"/>
        <v>100</v>
      </c>
      <c r="T28" s="774" t="s">
        <v>17</v>
      </c>
      <c r="U28" s="775">
        <f t="shared" si="13"/>
        <v>100</v>
      </c>
      <c r="V28" s="774" t="s">
        <v>17</v>
      </c>
      <c r="W28" s="775">
        <f t="shared" si="14"/>
        <v>100</v>
      </c>
      <c r="X28" s="1816"/>
      <c r="Y28" s="3272"/>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2"/>
      <c r="Q29" s="1813" t="str">
        <f t="shared" si="11"/>
        <v>有无电梯</v>
      </c>
      <c r="R29" s="774" t="s">
        <v>17</v>
      </c>
      <c r="S29" s="775">
        <f t="shared" si="12"/>
        <v>100</v>
      </c>
      <c r="T29" s="774" t="s">
        <v>17</v>
      </c>
      <c r="U29" s="775">
        <f t="shared" si="13"/>
        <v>100</v>
      </c>
      <c r="V29" s="774" t="s">
        <v>17</v>
      </c>
      <c r="W29" s="775">
        <f t="shared" si="14"/>
        <v>100</v>
      </c>
      <c r="X29" s="1816"/>
      <c r="Y29" s="3272"/>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2"/>
      <c r="Q30" s="1813" t="str">
        <f t="shared" si="11"/>
        <v>建筑面积</v>
      </c>
      <c r="R30" s="774" t="s">
        <v>17</v>
      </c>
      <c r="S30" s="775" t="e">
        <f t="shared" si="12"/>
        <v>#N/A</v>
      </c>
      <c r="T30" s="774" t="s">
        <v>17</v>
      </c>
      <c r="U30" s="775" t="e">
        <f t="shared" si="13"/>
        <v>#N/A</v>
      </c>
      <c r="V30" s="774" t="s">
        <v>17</v>
      </c>
      <c r="W30" s="775" t="e">
        <f t="shared" si="14"/>
        <v>#N/A</v>
      </c>
      <c r="X30" s="1816"/>
      <c r="Y30" s="3272"/>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2"/>
      <c r="Q31" s="1798" t="str">
        <f t="shared" si="11"/>
        <v>是否封闭</v>
      </c>
      <c r="R31" s="770" t="s">
        <v>17</v>
      </c>
      <c r="S31" s="771">
        <f t="shared" si="12"/>
        <v>100</v>
      </c>
      <c r="T31" s="770" t="s">
        <v>17</v>
      </c>
      <c r="U31" s="771">
        <f t="shared" si="13"/>
        <v>100</v>
      </c>
      <c r="V31" s="770" t="s">
        <v>17</v>
      </c>
      <c r="W31" s="771">
        <f t="shared" si="14"/>
        <v>100</v>
      </c>
      <c r="X31" s="772"/>
      <c r="Y31" s="3272"/>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2" t="s">
        <v>2564</v>
      </c>
      <c r="Q32" s="1813">
        <f t="shared" si="11"/>
        <v>111</v>
      </c>
      <c r="R32" s="774" t="s">
        <v>17</v>
      </c>
      <c r="S32" s="775">
        <f t="shared" si="12"/>
        <v>100</v>
      </c>
      <c r="T32" s="774" t="s">
        <v>17</v>
      </c>
      <c r="U32" s="775">
        <f t="shared" si="13"/>
        <v>100</v>
      </c>
      <c r="V32" s="774" t="s">
        <v>17</v>
      </c>
      <c r="W32" s="775">
        <f t="shared" si="14"/>
        <v>100</v>
      </c>
      <c r="X32" s="1816"/>
      <c r="Y32" s="3272"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2"/>
      <c r="Q33" s="1813">
        <f t="shared" si="11"/>
        <v>111</v>
      </c>
      <c r="R33" s="774" t="s">
        <v>17</v>
      </c>
      <c r="S33" s="775">
        <f t="shared" si="12"/>
        <v>100</v>
      </c>
      <c r="T33" s="774" t="s">
        <v>17</v>
      </c>
      <c r="U33" s="775">
        <f t="shared" si="13"/>
        <v>100</v>
      </c>
      <c r="V33" s="774" t="s">
        <v>17</v>
      </c>
      <c r="W33" s="775">
        <f t="shared" si="14"/>
        <v>100</v>
      </c>
      <c r="X33" s="1816"/>
      <c r="Y33" s="3272"/>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72"/>
      <c r="Q34" s="1813">
        <f t="shared" si="11"/>
        <v>111</v>
      </c>
      <c r="R34" s="774" t="s">
        <v>17</v>
      </c>
      <c r="S34" s="775">
        <f t="shared" si="12"/>
        <v>100</v>
      </c>
      <c r="T34" s="774" t="s">
        <v>17</v>
      </c>
      <c r="U34" s="775">
        <f t="shared" si="13"/>
        <v>100</v>
      </c>
      <c r="V34" s="774" t="s">
        <v>17</v>
      </c>
      <c r="W34" s="775">
        <f t="shared" si="14"/>
        <v>100</v>
      </c>
      <c r="X34" s="1816"/>
      <c r="Y34" s="3272"/>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65" t="str">
        <f>A35</f>
        <v>成交单价（元/平方米）</v>
      </c>
      <c r="Q35" s="3265"/>
      <c r="R35" s="3266">
        <f>E35</f>
        <v>0</v>
      </c>
      <c r="S35" s="3266"/>
      <c r="T35" s="3266">
        <f>G35</f>
        <v>0</v>
      </c>
      <c r="U35" s="3266"/>
      <c r="V35" s="3266">
        <f>I35</f>
        <v>0</v>
      </c>
      <c r="W35" s="3266"/>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62" t="str">
        <f>A37</f>
        <v>估价对象XX用房的比较价值（楼面单价，元/平方米）</v>
      </c>
      <c r="Q37" s="3263"/>
      <c r="R37" s="3264" t="e">
        <f>IF(F1="售价",ROUND(AVERAGE(R36:V36),0),ROUND(AVERAGE(R36:V36),1))</f>
        <v>#DIV/0!</v>
      </c>
      <c r="S37" s="3264"/>
      <c r="T37" s="3264"/>
      <c r="U37" s="3264"/>
      <c r="V37" s="3264"/>
      <c r="W37" s="326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24" sqref="D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7</v>
      </c>
      <c r="D1" s="1823" t="s">
        <v>70</v>
      </c>
      <c r="E1" s="1824" t="s">
        <v>1383</v>
      </c>
      <c r="F1" s="1286">
        <f ca="1">J53</f>
        <v>34.4</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7027</v>
      </c>
      <c r="C2" s="1848" t="s">
        <v>1512</v>
      </c>
      <c r="D2" s="1848"/>
      <c r="E2" s="1849"/>
      <c r="F2" s="1850"/>
      <c r="G2" s="1851"/>
      <c r="H2" s="1843"/>
      <c r="I2" s="1843"/>
      <c r="J2" s="1843"/>
      <c r="K2" s="1844"/>
      <c r="L2" s="1843"/>
      <c r="M2" s="1843"/>
    </row>
    <row r="3" spans="1:37" ht="18" customHeight="1" thickBot="1">
      <c r="A3" s="1852" t="s">
        <v>1513</v>
      </c>
      <c r="B3" s="1853">
        <f ca="1">IF(ISERROR(B2*10000/F43),0,ROUND(B2*10000/F43,0))</f>
        <v>9572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483</v>
      </c>
      <c r="D5" s="1825" t="s">
        <v>1398</v>
      </c>
      <c r="E5" s="1296"/>
      <c r="F5" s="1297"/>
      <c r="G5" s="1854"/>
      <c r="H5" s="344">
        <v>1</v>
      </c>
      <c r="I5" s="345" t="s">
        <v>1397</v>
      </c>
      <c r="J5" s="1295">
        <f ca="1">J6+J10+J12</f>
        <v>0</v>
      </c>
      <c r="K5" s="1825" t="s">
        <v>1398</v>
      </c>
      <c r="L5" s="1296"/>
      <c r="M5" s="1297"/>
    </row>
    <row r="6" spans="1:37" ht="18" customHeight="1">
      <c r="A6" s="1294" t="s">
        <v>1032</v>
      </c>
      <c r="B6" s="3206" t="s">
        <v>1399</v>
      </c>
      <c r="C6" s="1299">
        <f ca="1">ROUND(F6*F8*F7*(1-F9)/10000,0)</f>
        <v>482</v>
      </c>
      <c r="D6" s="164" t="s">
        <v>3032</v>
      </c>
      <c r="E6" s="347" t="s">
        <v>1401</v>
      </c>
      <c r="F6" s="348">
        <f ca="1">INDIRECT("'数据-取费表'!u"&amp;$G$1)</f>
        <v>2</v>
      </c>
      <c r="G6" s="1854"/>
      <c r="H6" s="1294" t="s">
        <v>1032</v>
      </c>
      <c r="I6" s="3206" t="s">
        <v>1399</v>
      </c>
      <c r="J6" s="346">
        <f ca="1">ROUND(M6*M8*M7*(1-M9)/10000,0)</f>
        <v>0</v>
      </c>
      <c r="K6" s="164" t="s">
        <v>3031</v>
      </c>
      <c r="L6" s="347" t="s">
        <v>1401</v>
      </c>
      <c r="M6" s="348">
        <f ca="1">INDIRECT("'数据-取费表'!z"&amp;$G$1)</f>
        <v>0</v>
      </c>
    </row>
    <row r="7" spans="1:37" ht="18" customHeight="1">
      <c r="A7" s="1298"/>
      <c r="B7" s="3207"/>
      <c r="C7" s="1300"/>
      <c r="D7" s="352"/>
      <c r="E7" s="2976" t="s">
        <v>1402</v>
      </c>
      <c r="F7" s="348">
        <f ca="1">IF(INDIRECT("'数据-取费表'!ah"&amp;$G$1)="",INDIRECT("'数据-取费表'!k"&amp;$G$1),INDIRECT("'数据-取费表'!ah"&amp;$G$1))</f>
        <v>7340.8800000000037</v>
      </c>
      <c r="G7" s="1854"/>
      <c r="H7" s="349"/>
      <c r="I7" s="3207"/>
      <c r="J7" s="351"/>
      <c r="K7" s="352"/>
      <c r="L7" s="347" t="s">
        <v>1402</v>
      </c>
      <c r="M7" s="348">
        <f ca="1">F7</f>
        <v>7340.8800000000037</v>
      </c>
    </row>
    <row r="8" spans="1:37" ht="18" customHeight="1">
      <c r="A8" s="349"/>
      <c r="B8" s="3207"/>
      <c r="C8" s="351"/>
      <c r="D8" s="352"/>
      <c r="E8" s="347" t="s">
        <v>1403</v>
      </c>
      <c r="F8" s="348">
        <f ca="1">INDIRECT("'数据-取费表'!ai"&amp;$G$1)</f>
        <v>365</v>
      </c>
      <c r="G8" s="1854"/>
      <c r="H8" s="349"/>
      <c r="I8" s="3207"/>
      <c r="J8" s="351"/>
      <c r="K8" s="352"/>
      <c r="L8" s="347" t="s">
        <v>1403</v>
      </c>
      <c r="M8" s="348">
        <f ca="1">INDIRECT("'数据-取费表'!ai"&amp;$G$1)</f>
        <v>365</v>
      </c>
    </row>
    <row r="9" spans="1:37" ht="18" customHeight="1">
      <c r="A9" s="349"/>
      <c r="B9" s="3208"/>
      <c r="C9" s="351"/>
      <c r="D9" s="352"/>
      <c r="E9" s="347" t="s">
        <v>1404</v>
      </c>
      <c r="F9" s="357">
        <f ca="1">INDIRECT("'数据-取费表'!w"&amp;$G$1)</f>
        <v>0.1</v>
      </c>
      <c r="G9" s="1854"/>
      <c r="H9" s="349"/>
      <c r="I9" s="3208"/>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3040</v>
      </c>
      <c r="E10" s="358" t="s">
        <v>1406</v>
      </c>
      <c r="F10" s="1369" t="s">
        <v>3368</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2800</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1835</v>
      </c>
      <c r="D14" s="2970" t="s">
        <v>1414</v>
      </c>
      <c r="E14" s="2968"/>
      <c r="F14" s="364"/>
      <c r="G14" s="1854"/>
      <c r="H14" s="1204" t="s">
        <v>1032</v>
      </c>
      <c r="I14" s="347" t="s">
        <v>1415</v>
      </c>
      <c r="J14" s="24">
        <f ca="1">C29</f>
        <v>2887</v>
      </c>
      <c r="K14" s="2975"/>
      <c r="L14" s="982"/>
      <c r="M14" s="983"/>
    </row>
    <row r="15" spans="1:37" s="1861" customFormat="1" ht="18" customHeight="1" thickBot="1">
      <c r="A15" s="1204" t="s">
        <v>1033</v>
      </c>
      <c r="B15" s="347" t="s">
        <v>1416</v>
      </c>
      <c r="C15" s="24">
        <f ca="1">ROUND(C14*F15,0)</f>
        <v>55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75</v>
      </c>
      <c r="K16" s="1340" t="s">
        <v>1421</v>
      </c>
      <c r="L16" s="2971"/>
      <c r="M16" s="1297"/>
    </row>
    <row r="17" spans="1:37" s="1861" customFormat="1" ht="18" customHeight="1">
      <c r="A17" s="1204" t="s">
        <v>1386</v>
      </c>
      <c r="B17" s="347" t="s">
        <v>1422</v>
      </c>
      <c r="C17" s="24">
        <f ca="1">ROUND(F17*(F43+INDIRECT("'数据-取费表'!S"&amp;$G$1))/10000,0)</f>
        <v>132</v>
      </c>
      <c r="D17" s="347" t="s">
        <v>1423</v>
      </c>
      <c r="E17" s="347" t="s">
        <v>1424</v>
      </c>
      <c r="F17" s="26">
        <f>'数据-取费表'!B35</f>
        <v>180</v>
      </c>
      <c r="G17" s="1857"/>
      <c r="H17" s="1204" t="s">
        <v>1032</v>
      </c>
      <c r="I17" s="347" t="s">
        <v>1425</v>
      </c>
      <c r="J17" s="24">
        <f ca="1">ROUND(IF(项目基本情况!B11="自然人",J5*M17,J18+J19+J20),1)</f>
        <v>31.5</v>
      </c>
      <c r="K17" s="2970" t="s">
        <v>1426</v>
      </c>
      <c r="L17" s="2969"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28</v>
      </c>
      <c r="D18" s="347" t="s">
        <v>1417</v>
      </c>
      <c r="E18" s="347" t="s">
        <v>1418</v>
      </c>
      <c r="F18" s="367">
        <f>'数据-取费表'!B36</f>
        <v>1.4999999999999999E-2</v>
      </c>
      <c r="G18" s="1857"/>
      <c r="H18" s="1204" t="s">
        <v>1031</v>
      </c>
      <c r="I18" s="347" t="s">
        <v>1429</v>
      </c>
      <c r="J18" s="24">
        <f ca="1">ROUND(J5*M18/(1+'数据-取费表'!C42),2)</f>
        <v>0</v>
      </c>
      <c r="K18" s="2969"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2050</v>
      </c>
      <c r="D19" s="140" t="s">
        <v>1432</v>
      </c>
      <c r="E19" s="2974"/>
      <c r="F19" s="26"/>
      <c r="G19" s="1854"/>
      <c r="H19" s="1204" t="s">
        <v>1033</v>
      </c>
      <c r="I19" s="347" t="s">
        <v>1433</v>
      </c>
      <c r="J19" s="24">
        <f ca="1">IF(K19="按租金收入计税",ROUND(J5*M19,2),ROUND(C29*M19*0.7,2))</f>
        <v>24.25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41</v>
      </c>
      <c r="D20" s="369" t="s">
        <v>1436</v>
      </c>
      <c r="E20" s="347" t="s">
        <v>1418</v>
      </c>
      <c r="F20" s="367">
        <f>'数据-取费表'!B37</f>
        <v>0.02</v>
      </c>
      <c r="G20" s="1857"/>
      <c r="H20" s="1204" t="s">
        <v>1385</v>
      </c>
      <c r="I20" s="164" t="s">
        <v>1437</v>
      </c>
      <c r="J20" s="25">
        <f ca="1">ROUND(M20*M21/10000,2)</f>
        <v>7.24</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14485.24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74"/>
      <c r="F22" s="26"/>
      <c r="G22" s="1854"/>
      <c r="H22" s="1204" t="s">
        <v>1036</v>
      </c>
      <c r="I22" s="347" t="s">
        <v>1445</v>
      </c>
      <c r="J22" s="24">
        <f ca="1">ROUND(J14*M22,1)</f>
        <v>43.3</v>
      </c>
      <c r="K22" s="2969"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151</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2969"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74"/>
      <c r="F25" s="26"/>
      <c r="G25" s="1854"/>
      <c r="H25" s="1332" t="s">
        <v>1028</v>
      </c>
      <c r="I25" s="1347" t="s">
        <v>1459</v>
      </c>
      <c r="J25" s="355">
        <f ca="1">J5-J16</f>
        <v>-75</v>
      </c>
      <c r="K25" s="1348" t="s">
        <v>1460</v>
      </c>
      <c r="L25" s="1349"/>
      <c r="M25" s="1350"/>
    </row>
    <row r="26" spans="1:37">
      <c r="A26" s="1204" t="s">
        <v>1031</v>
      </c>
      <c r="B26" s="347" t="s">
        <v>1461</v>
      </c>
      <c r="C26" s="24">
        <f ca="1">ROUND((C19+C20)*F26,0)</f>
        <v>418</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2887</v>
      </c>
      <c r="D29" s="1345"/>
      <c r="E29" s="1343"/>
      <c r="F29" s="1346"/>
      <c r="G29" s="1857"/>
      <c r="H29" s="380" t="s">
        <v>1030</v>
      </c>
      <c r="I29" s="381" t="s">
        <v>1475</v>
      </c>
      <c r="J29" s="382">
        <f ca="1">ROUND(J26/(1+F40)^F41,0)</f>
        <v>0</v>
      </c>
      <c r="K29" s="383" t="s">
        <v>1476</v>
      </c>
      <c r="L29" s="384"/>
      <c r="M29" s="385">
        <f ca="1">INDIRECT("'数据-取费表'!k"&amp;$G$1)</f>
        <v>7340.8800000000037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148</v>
      </c>
      <c r="D30" s="1340" t="s">
        <v>1421</v>
      </c>
      <c r="E30" s="2971"/>
      <c r="F30" s="1297"/>
      <c r="G30" s="1854"/>
      <c r="H30" s="745"/>
      <c r="I30" s="746"/>
      <c r="J30" s="747"/>
      <c r="K30" s="748"/>
      <c r="L30" s="749"/>
      <c r="M30" s="750"/>
    </row>
    <row r="31" spans="1:37" ht="18" customHeight="1">
      <c r="A31" s="1204" t="s">
        <v>1032</v>
      </c>
      <c r="B31" s="347" t="s">
        <v>1425</v>
      </c>
      <c r="C31" s="24">
        <f ca="1">ROUND(IF(项目基本情况!B11="自然人",C5*F31,C32+C33+C34),1)</f>
        <v>91</v>
      </c>
      <c r="D31" s="2970" t="s">
        <v>1426</v>
      </c>
      <c r="E31" s="2969"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25.76</v>
      </c>
      <c r="D32" s="2969"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57.96</v>
      </c>
      <c r="D33" s="1831" t="s">
        <v>3292</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7.24</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14485.24</v>
      </c>
      <c r="G35" s="1854"/>
      <c r="H35" s="745"/>
      <c r="I35" s="1863"/>
      <c r="J35" s="1864"/>
      <c r="K35" s="1865"/>
      <c r="L35" s="1862"/>
      <c r="M35" s="1862"/>
    </row>
    <row r="36" spans="1:18" ht="18" customHeight="1">
      <c r="A36" s="1355" t="s">
        <v>1036</v>
      </c>
      <c r="B36" s="347" t="s">
        <v>1445</v>
      </c>
      <c r="C36" s="24">
        <f ca="1">ROUND(C29*F36,1)</f>
        <v>43.3</v>
      </c>
      <c r="D36" s="2969"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4.2</v>
      </c>
      <c r="D37" s="2969"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9.6999999999999993</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335</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7027</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9572</v>
      </c>
      <c r="D43" s="383" t="s">
        <v>1484</v>
      </c>
      <c r="E43" s="384" t="s">
        <v>1485</v>
      </c>
      <c r="F43" s="385">
        <f ca="1">INDIRECT("'数据-取费表'!k"&amp;$G$1)</f>
        <v>7340.8800000000037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-11571</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3293</v>
      </c>
      <c r="K47" s="1885" t="s">
        <v>1523</v>
      </c>
      <c r="L47" s="1886">
        <f ca="1">INDIRECT("'数据-取费表'!d"&amp;$G$1)</f>
        <v>40</v>
      </c>
      <c r="M47" s="1841" t="str">
        <f>IF(ISNUMBER(FIND("住宅",C1)),"住宅","非住宅")</f>
        <v>非住宅</v>
      </c>
      <c r="O47" s="1887" t="s">
        <v>1037</v>
      </c>
      <c r="P47" s="1888" t="s">
        <v>1524</v>
      </c>
      <c r="Q47" s="1889">
        <f ca="1">C40+J29</f>
        <v>7027</v>
      </c>
      <c r="R47" s="1889" t="s">
        <v>1525</v>
      </c>
    </row>
    <row r="48" spans="1:18" s="1845" customFormat="1" ht="28.5" thickBot="1">
      <c r="A48" s="1363" t="s">
        <v>1132</v>
      </c>
      <c r="B48" s="345" t="s">
        <v>1397</v>
      </c>
      <c r="C48" s="2973">
        <f ca="1">C49+C53+C55</f>
        <v>0</v>
      </c>
      <c r="D48" s="1365"/>
      <c r="E48" s="1366"/>
      <c r="F48" s="1184"/>
      <c r="G48" s="792"/>
      <c r="H48" s="793"/>
      <c r="I48" s="1890" t="s">
        <v>1526</v>
      </c>
      <c r="J48" s="1891" t="s">
        <v>3294</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2017</v>
      </c>
      <c r="K49" s="1892" t="s">
        <v>1531</v>
      </c>
      <c r="L49" s="1896"/>
      <c r="O49" s="1897" t="s">
        <v>1039</v>
      </c>
      <c r="P49" s="1888" t="s">
        <v>1532</v>
      </c>
      <c r="Q49" s="1889">
        <f ca="1">C29</f>
        <v>2887</v>
      </c>
      <c r="R49" s="1889" t="s">
        <v>1525</v>
      </c>
    </row>
    <row r="50" spans="1:18" s="1845" customFormat="1" ht="13.5" thickBot="1">
      <c r="A50" s="1198"/>
      <c r="B50" s="1201"/>
      <c r="C50" s="1371"/>
      <c r="D50" s="1175"/>
      <c r="E50" s="1280" t="s">
        <v>1402</v>
      </c>
      <c r="F50" s="1281">
        <f ca="1">F7</f>
        <v>7340.8800000000037</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1806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04" t="s">
        <v>1544</v>
      </c>
      <c r="L53" s="3205"/>
      <c r="O53" s="1887" t="s">
        <v>1043</v>
      </c>
      <c r="P53" s="1888" t="s">
        <v>1545</v>
      </c>
      <c r="Q53" s="1889">
        <f ca="1">Q47+Q48</f>
        <v>7027</v>
      </c>
      <c r="R53" s="1889" t="s">
        <v>1044</v>
      </c>
    </row>
    <row r="54" spans="1:18" s="1845" customFormat="1" ht="13.5" thickBot="1">
      <c r="A54" s="1409"/>
      <c r="B54" s="1828" t="s">
        <v>1384</v>
      </c>
      <c r="C54" s="1181"/>
      <c r="D54" s="1827"/>
      <c r="E54" s="297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72"/>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2800</v>
      </c>
      <c r="D56" s="1917"/>
      <c r="E56" s="1918"/>
      <c r="F56" s="1910"/>
      <c r="I56" s="1919" t="s">
        <v>1550</v>
      </c>
      <c r="J56" s="1920" t="s">
        <v>3290</v>
      </c>
      <c r="K56" s="1890" t="s">
        <v>1551</v>
      </c>
      <c r="L56" s="1893" t="str">
        <f ca="1">IF(L48&lt;J51,"——",L48-J53)</f>
        <v>——</v>
      </c>
      <c r="O56" s="1887" t="s">
        <v>1037</v>
      </c>
      <c r="P56" s="1888" t="s">
        <v>1524</v>
      </c>
      <c r="Q56" s="1889">
        <f ca="1">C40+J29</f>
        <v>7027</v>
      </c>
      <c r="R56" s="1889" t="s">
        <v>1525</v>
      </c>
    </row>
    <row r="57" spans="1:18" s="1845" customFormat="1" ht="24.75" thickBot="1">
      <c r="A57" s="1921"/>
      <c r="B57" s="1172" t="s">
        <v>1474</v>
      </c>
      <c r="C57" s="282">
        <f ca="1">C29</f>
        <v>2887</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297</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249.8</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242.51</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7.24</v>
      </c>
      <c r="D62" s="1187" t="s">
        <v>1438</v>
      </c>
      <c r="E62" s="1172" t="s">
        <v>1439</v>
      </c>
      <c r="F62" s="371">
        <f t="shared" si="0"/>
        <v>5</v>
      </c>
      <c r="I62" s="1932" t="s">
        <v>1566</v>
      </c>
      <c r="J62" s="1933" t="s">
        <v>1567</v>
      </c>
      <c r="K62" s="1933" t="s">
        <v>1568</v>
      </c>
      <c r="L62" s="1933" t="s">
        <v>1569</v>
      </c>
      <c r="M62" s="1934" t="s">
        <v>1570</v>
      </c>
      <c r="O62" s="1887" t="s">
        <v>1043</v>
      </c>
      <c r="P62" s="1888" t="s">
        <v>1545</v>
      </c>
      <c r="Q62" s="1889">
        <f ca="1">Q56+Q57</f>
        <v>7027</v>
      </c>
      <c r="R62" s="1889" t="s">
        <v>1044</v>
      </c>
    </row>
    <row r="63" spans="1:18" s="1845" customFormat="1" ht="13.5" thickBot="1">
      <c r="A63" s="372"/>
      <c r="B63" s="1178"/>
      <c r="C63" s="29"/>
      <c r="D63" s="1188"/>
      <c r="E63" s="1172" t="s">
        <v>1443</v>
      </c>
      <c r="F63" s="348">
        <f t="shared" ca="1" si="0"/>
        <v>14485.24</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43.3</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4.2</v>
      </c>
      <c r="D65" s="1186" t="s">
        <v>1450</v>
      </c>
      <c r="E65" s="1172" t="s">
        <v>1418</v>
      </c>
      <c r="F65" s="376">
        <f t="shared" ca="1" si="0"/>
        <v>1.5E-3</v>
      </c>
      <c r="I65" s="1932" t="s">
        <v>1575</v>
      </c>
      <c r="J65" s="1933">
        <v>40</v>
      </c>
      <c r="K65" s="1933">
        <v>30</v>
      </c>
      <c r="L65" s="1933">
        <v>50</v>
      </c>
      <c r="M65" s="1935">
        <v>0.02</v>
      </c>
      <c r="O65" s="1887" t="s">
        <v>1037</v>
      </c>
      <c r="P65" s="1888" t="s">
        <v>1524</v>
      </c>
      <c r="Q65" s="1889">
        <f ca="1">C40+J29</f>
        <v>7027</v>
      </c>
      <c r="R65" s="1889" t="s">
        <v>1525</v>
      </c>
    </row>
    <row r="66" spans="1:18" s="1845" customFormat="1" ht="16.5"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-297</v>
      </c>
      <c r="D67" s="1185" t="s">
        <v>1460</v>
      </c>
      <c r="E67" s="1190"/>
      <c r="F67" s="1191"/>
      <c r="O67" s="1897" t="s">
        <v>1039</v>
      </c>
      <c r="P67" s="1888" t="s">
        <v>1558</v>
      </c>
      <c r="Q67" s="1936">
        <f ca="1">L51</f>
        <v>1806</v>
      </c>
      <c r="R67" s="1889" t="s">
        <v>1578</v>
      </c>
    </row>
    <row r="68" spans="1:18" s="1845" customFormat="1" ht="16.5" thickBot="1">
      <c r="A68" s="1169" t="s">
        <v>1029</v>
      </c>
      <c r="B68" s="1170" t="s">
        <v>1481</v>
      </c>
      <c r="C68" s="346">
        <f ca="1">ROUND(C67*(1-((1+F70)/(1+F68))^F69)/(F68-F70),0)</f>
        <v>-4544</v>
      </c>
      <c r="D68" s="1187" t="s">
        <v>1465</v>
      </c>
      <c r="E68" s="1172" t="s">
        <v>1466</v>
      </c>
      <c r="F68" s="357">
        <f ca="1">F40</f>
        <v>5.5E-2</v>
      </c>
      <c r="O68" s="1897" t="s">
        <v>1040</v>
      </c>
      <c r="P68" s="1937" t="s">
        <v>1579</v>
      </c>
      <c r="Q68" s="1889">
        <f ca="1">ROUND(Q69-Q70*Q71,0)</f>
        <v>111</v>
      </c>
      <c r="R68" s="1889" t="s">
        <v>1048</v>
      </c>
    </row>
    <row r="69" spans="1:18" s="1845" customFormat="1" ht="13.5" thickBot="1">
      <c r="A69" s="1173"/>
      <c r="B69" s="1174"/>
      <c r="C69" s="351"/>
      <c r="D69" s="1192" t="s">
        <v>1469</v>
      </c>
      <c r="E69" s="1172" t="s">
        <v>1470</v>
      </c>
      <c r="F69" s="379">
        <f ca="1">F41</f>
        <v>34.4</v>
      </c>
      <c r="O69" s="1897" t="s">
        <v>1045</v>
      </c>
      <c r="P69" s="1937" t="s">
        <v>1580</v>
      </c>
      <c r="Q69" s="1889">
        <f ca="1">C39</f>
        <v>335</v>
      </c>
      <c r="R69" s="1889" t="s">
        <v>1525</v>
      </c>
    </row>
    <row r="70" spans="1:18" s="1845" customFormat="1" ht="13.5" thickBot="1">
      <c r="A70" s="1176"/>
      <c r="B70" s="1177"/>
      <c r="C70" s="355"/>
      <c r="D70" s="1188"/>
      <c r="E70" s="1172" t="s">
        <v>1473</v>
      </c>
      <c r="F70" s="1278"/>
      <c r="O70" s="1897" t="s">
        <v>1046</v>
      </c>
      <c r="P70" s="1937" t="s">
        <v>1581</v>
      </c>
      <c r="Q70" s="1889">
        <f ca="1">C13</f>
        <v>2800</v>
      </c>
      <c r="R70" s="1889" t="s">
        <v>1525</v>
      </c>
    </row>
    <row r="71" spans="1:18" s="1845" customFormat="1" ht="13.5" thickBot="1">
      <c r="A71" s="1193" t="s">
        <v>1030</v>
      </c>
      <c r="B71" s="1194" t="s">
        <v>1483</v>
      </c>
      <c r="C71" s="382">
        <f ca="1">ROUND(C68*10000/F71,0)</f>
        <v>-6190</v>
      </c>
      <c r="D71" s="1195" t="s">
        <v>1484</v>
      </c>
      <c r="E71" s="1196" t="s">
        <v>1485</v>
      </c>
      <c r="F71" s="385">
        <f ca="1">F43</f>
        <v>7340.8800000000037</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224</v>
      </c>
      <c r="D75" s="1845"/>
      <c r="E75" s="1845"/>
      <c r="F75" s="1845"/>
      <c r="K75" s="1871"/>
      <c r="L75" s="1845"/>
      <c r="O75" s="1887" t="s">
        <v>1043</v>
      </c>
      <c r="P75" s="1888" t="s">
        <v>1545</v>
      </c>
      <c r="Q75" s="1889">
        <f ca="1">Q65+Q66</f>
        <v>7027</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0.33099999999999996</v>
      </c>
    </row>
    <row r="80" spans="1:18">
      <c r="B80" s="386" t="s">
        <v>1507</v>
      </c>
      <c r="C80" s="318">
        <f ca="1">ROUND(C75/C39,3)</f>
        <v>0.66900000000000004</v>
      </c>
    </row>
    <row r="81" spans="2:3">
      <c r="B81" s="314" t="s">
        <v>1508</v>
      </c>
      <c r="C81" s="282"/>
    </row>
    <row r="82" spans="2:3">
      <c r="B82" s="317" t="s">
        <v>1509</v>
      </c>
      <c r="C82" s="319">
        <f ca="1">1-C83</f>
        <v>0.60199999999999998</v>
      </c>
    </row>
    <row r="83" spans="2:3">
      <c r="B83" s="317" t="s">
        <v>1510</v>
      </c>
      <c r="C83" s="318">
        <f ca="1">ROUND(C13/C40,3)</f>
        <v>0.39800000000000002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19571</v>
      </c>
      <c r="C2" s="2571" t="s">
        <v>2518</v>
      </c>
      <c r="D2" s="2572" t="s">
        <v>2519</v>
      </c>
      <c r="E2" s="2573">
        <f>SUM(E6:E13)</f>
        <v>20447.539999999997</v>
      </c>
    </row>
    <row r="3" spans="1:6" ht="15.75">
      <c r="A3" s="2569" t="s">
        <v>1391</v>
      </c>
      <c r="B3" s="2570">
        <f ca="1">ROUND(B2*10000/E2,0)</f>
        <v>9571</v>
      </c>
      <c r="C3" s="2571" t="s">
        <v>2526</v>
      </c>
      <c r="D3" s="2574"/>
      <c r="E3" s="2575"/>
    </row>
    <row r="4" spans="1:6" ht="15.75">
      <c r="A4" s="2576"/>
      <c r="B4" s="2574"/>
      <c r="C4" s="2574"/>
      <c r="D4" s="2574"/>
      <c r="E4" s="2575"/>
    </row>
    <row r="5" spans="1:6" ht="15">
      <c r="A5" s="2577" t="s">
        <v>2520</v>
      </c>
      <c r="B5" s="3292" t="s">
        <v>2521</v>
      </c>
      <c r="C5" s="3292"/>
      <c r="D5" s="2578"/>
      <c r="E5" s="2579" t="s">
        <v>2522</v>
      </c>
      <c r="F5" s="2580" t="s">
        <v>2523</v>
      </c>
    </row>
    <row r="6" spans="1:6">
      <c r="A6" s="2581" t="str">
        <f>'数据-取费表'!AN6</f>
        <v>收益法-3</v>
      </c>
      <c r="B6" s="2580">
        <f ca="1">IF(F6="是",'数据-取费表'!AO6,0)</f>
        <v>12544</v>
      </c>
      <c r="C6" s="2571" t="s">
        <v>2518</v>
      </c>
      <c r="D6" s="2574"/>
      <c r="E6" s="2582">
        <f>IF(OR(A6=0,F6="否"),0,'数据-取费表'!K6+'数据-取费表'!S6)</f>
        <v>13106.659999999993</v>
      </c>
      <c r="F6" s="2583" t="s">
        <v>2524</v>
      </c>
    </row>
    <row r="7" spans="1:6">
      <c r="A7" s="2581" t="str">
        <f>'数据-取费表'!AN7</f>
        <v>收益法-7</v>
      </c>
      <c r="B7" s="2580">
        <f ca="1">IF(F7="是",'数据-取费表'!AO7,0)</f>
        <v>7027</v>
      </c>
      <c r="C7" s="2571" t="s">
        <v>2518</v>
      </c>
      <c r="D7" s="2574"/>
      <c r="E7" s="2582">
        <f>IF(OR(A7=0,F7="否"),0,'数据-取费表'!K7+'数据-取费表'!S7)</f>
        <v>7340.8800000000037</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B41" sqref="B4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6508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3183</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48" t="s">
        <v>2645</v>
      </c>
      <c r="D4" s="3249"/>
      <c r="E4" s="3250" t="s">
        <v>2646</v>
      </c>
      <c r="F4" s="3251"/>
      <c r="G4" s="3248" t="s">
        <v>2647</v>
      </c>
      <c r="H4" s="3249"/>
      <c r="I4" s="3248" t="s">
        <v>2648</v>
      </c>
      <c r="J4" s="3249"/>
      <c r="K4" s="610" t="s">
        <v>2649</v>
      </c>
      <c r="L4" s="1133"/>
      <c r="M4" s="1134"/>
      <c r="N4" s="1134"/>
      <c r="O4" s="1134"/>
      <c r="P4" s="3252" t="s">
        <v>2650</v>
      </c>
      <c r="Q4" s="3253"/>
      <c r="R4" s="3235" t="s">
        <v>2646</v>
      </c>
      <c r="S4" s="3236"/>
      <c r="T4" s="3235" t="s">
        <v>2647</v>
      </c>
      <c r="U4" s="3236"/>
      <c r="V4" s="3260" t="s">
        <v>2648</v>
      </c>
      <c r="W4" s="3260"/>
      <c r="X4" s="1816"/>
      <c r="Y4" s="3235" t="s">
        <v>2650</v>
      </c>
      <c r="Z4" s="3236"/>
      <c r="AA4" s="3230" t="s">
        <v>2646</v>
      </c>
      <c r="AB4" s="3231" t="s">
        <v>2647</v>
      </c>
      <c r="AC4" s="3230" t="s">
        <v>2648</v>
      </c>
    </row>
    <row r="5" spans="1:30" ht="15">
      <c r="A5" s="404"/>
      <c r="B5" s="405"/>
      <c r="C5" s="3241" t="s">
        <v>3351</v>
      </c>
      <c r="D5" s="3242"/>
      <c r="E5" s="3239" t="s">
        <v>3364</v>
      </c>
      <c r="F5" s="3240"/>
      <c r="G5" s="3241" t="s">
        <v>3327</v>
      </c>
      <c r="H5" s="3242"/>
      <c r="I5" s="3241" t="s">
        <v>3331</v>
      </c>
      <c r="J5" s="3242"/>
      <c r="K5" s="610"/>
      <c r="L5" s="1133"/>
      <c r="M5" s="1134"/>
      <c r="N5" s="1134"/>
      <c r="O5" s="1134"/>
      <c r="P5" s="3254"/>
      <c r="Q5" s="3255"/>
      <c r="R5" s="3237"/>
      <c r="S5" s="3238"/>
      <c r="T5" s="3237"/>
      <c r="U5" s="3238"/>
      <c r="V5" s="3260"/>
      <c r="W5" s="3260"/>
      <c r="X5" s="1816"/>
      <c r="Y5" s="3237"/>
      <c r="Z5" s="3238"/>
      <c r="AA5" s="3231"/>
      <c r="AB5" s="3231"/>
      <c r="AC5" s="3231"/>
    </row>
    <row r="6" spans="1:30" ht="15.75" thickBot="1">
      <c r="A6" s="406"/>
      <c r="B6" s="407"/>
      <c r="C6" s="3243" t="s">
        <v>3352</v>
      </c>
      <c r="D6" s="3244"/>
      <c r="E6" s="3245" t="s">
        <v>3352</v>
      </c>
      <c r="F6" s="3246"/>
      <c r="G6" s="3243" t="s">
        <v>3352</v>
      </c>
      <c r="H6" s="3244"/>
      <c r="I6" s="3243" t="s">
        <v>3352</v>
      </c>
      <c r="J6" s="3244"/>
      <c r="K6" s="610" t="s">
        <v>2546</v>
      </c>
      <c r="L6" s="1133"/>
      <c r="M6" s="1134"/>
      <c r="N6" s="1134"/>
      <c r="O6" s="1134"/>
      <c r="P6" s="3256"/>
      <c r="Q6" s="3257"/>
      <c r="R6" s="3237"/>
      <c r="S6" s="3238"/>
      <c r="T6" s="3258"/>
      <c r="U6" s="3259"/>
      <c r="V6" s="3260"/>
      <c r="W6" s="3260"/>
      <c r="X6" s="1816"/>
      <c r="Y6" s="3258"/>
      <c r="Z6" s="3259"/>
      <c r="AA6" s="3232"/>
      <c r="AB6" s="3232"/>
      <c r="AC6" s="3232"/>
    </row>
    <row r="7" spans="1:30" s="117" customFormat="1" ht="15.75" thickBot="1">
      <c r="A7" s="408" t="s">
        <v>2547</v>
      </c>
      <c r="B7" s="409"/>
      <c r="C7" s="410">
        <f>'数据-取费表'!B2</f>
        <v>43598</v>
      </c>
      <c r="D7" s="411">
        <v>100</v>
      </c>
      <c r="E7" s="412">
        <v>42706</v>
      </c>
      <c r="F7" s="413">
        <f>SUMIF(70:70,YEAR(E7)&amp;"-"&amp;INT((MONTH(E7)+2)/3),71:71)</f>
        <v>100</v>
      </c>
      <c r="G7" s="2701">
        <v>42615</v>
      </c>
      <c r="H7" s="411">
        <f>SUMIF(70:70,YEAR(G7)&amp;"-"&amp;INT((MONTH(G7)+2)/3),71:71)</f>
        <v>100</v>
      </c>
      <c r="I7" s="2701">
        <v>42587</v>
      </c>
      <c r="J7" s="411">
        <f>SUMIF(70:70,YEAR(I7)&amp;"-"&amp;INT((MONTH(I7)+2)/3),71:71)</f>
        <v>100</v>
      </c>
      <c r="K7" s="611"/>
      <c r="L7" s="1135"/>
      <c r="M7" s="1136"/>
      <c r="N7" s="1136"/>
      <c r="O7" s="1136"/>
      <c r="P7" s="3233" t="s">
        <v>2548</v>
      </c>
      <c r="Q7" s="3261"/>
      <c r="R7" s="770" t="s">
        <v>17</v>
      </c>
      <c r="S7" s="771">
        <f t="shared" ref="S7:S15" si="0">F7</f>
        <v>100</v>
      </c>
      <c r="T7" s="770" t="s">
        <v>17</v>
      </c>
      <c r="U7" s="771">
        <f t="shared" ref="U7:U15" si="1">H7</f>
        <v>100</v>
      </c>
      <c r="V7" s="770" t="s">
        <v>17</v>
      </c>
      <c r="W7" s="771">
        <f t="shared" ref="W7:W15" si="2">J7</f>
        <v>100</v>
      </c>
      <c r="X7" s="772"/>
      <c r="Y7" s="3233" t="s">
        <v>2548</v>
      </c>
      <c r="Z7" s="3234"/>
      <c r="AA7" s="773">
        <f>D7/F7</f>
        <v>1</v>
      </c>
      <c r="AB7" s="773">
        <f>D7/H7</f>
        <v>1</v>
      </c>
      <c r="AC7" s="773">
        <f>D7/J7</f>
        <v>1</v>
      </c>
    </row>
    <row r="8" spans="1:30" s="117" customFormat="1" ht="15.75" thickBot="1">
      <c r="A8" s="408" t="s">
        <v>2549</v>
      </c>
      <c r="B8" s="409"/>
      <c r="C8" s="414" t="s">
        <v>2550</v>
      </c>
      <c r="D8" s="411">
        <v>100</v>
      </c>
      <c r="E8" s="414" t="s">
        <v>3295</v>
      </c>
      <c r="F8" s="413">
        <f>SUMIF(73:73,E8,74:74)-SUMIF(73:73,C8,74:74)+100</f>
        <v>100</v>
      </c>
      <c r="G8" s="414" t="s">
        <v>3295</v>
      </c>
      <c r="H8" s="411">
        <f>SUMIF(73:73,G8,74:74)-SUMIF(73:73,C8,74:74)+100</f>
        <v>100</v>
      </c>
      <c r="I8" s="414" t="s">
        <v>3295</v>
      </c>
      <c r="J8" s="411">
        <f>SUMIF(73:73,I8,74:74)-SUMIF(73:73,C8,74:74)+100</f>
        <v>100</v>
      </c>
      <c r="K8" s="611"/>
      <c r="L8" s="1135"/>
      <c r="M8" s="1136"/>
      <c r="N8" s="1136"/>
      <c r="O8" s="1136"/>
      <c r="P8" s="3233" t="s">
        <v>2551</v>
      </c>
      <c r="Q8" s="3234"/>
      <c r="R8" s="770" t="s">
        <v>17</v>
      </c>
      <c r="S8" s="771">
        <f t="shared" si="0"/>
        <v>100</v>
      </c>
      <c r="T8" s="770" t="s">
        <v>17</v>
      </c>
      <c r="U8" s="771">
        <f t="shared" si="1"/>
        <v>100</v>
      </c>
      <c r="V8" s="770" t="s">
        <v>17</v>
      </c>
      <c r="W8" s="771">
        <f t="shared" si="2"/>
        <v>100</v>
      </c>
      <c r="X8" s="772"/>
      <c r="Y8" s="3233" t="s">
        <v>2551</v>
      </c>
      <c r="Z8" s="3234"/>
      <c r="AA8" s="773">
        <f t="shared" ref="AA8:AA45" si="3">D8/F8</f>
        <v>1</v>
      </c>
      <c r="AB8" s="773">
        <f t="shared" ref="AB8:AB45" si="4">D8/H8</f>
        <v>1</v>
      </c>
      <c r="AC8" s="773">
        <f t="shared" ref="AC8:AC45" si="5">D8/J8</f>
        <v>1</v>
      </c>
    </row>
    <row r="9" spans="1:30" s="117" customFormat="1">
      <c r="A9" s="415" t="s">
        <v>2552</v>
      </c>
      <c r="B9" s="71" t="s">
        <v>2553</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65" t="s">
        <v>2554</v>
      </c>
      <c r="Q9" s="1798"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65"/>
      <c r="Q10" s="1798" t="str">
        <f t="shared" si="6"/>
        <v>土地使用年限（年）</v>
      </c>
      <c r="R10" s="770" t="s">
        <v>17</v>
      </c>
      <c r="S10" s="771">
        <f t="shared" si="0"/>
        <v>105</v>
      </c>
      <c r="T10" s="770" t="s">
        <v>17</v>
      </c>
      <c r="U10" s="771">
        <f t="shared" si="1"/>
        <v>105</v>
      </c>
      <c r="V10" s="770" t="s">
        <v>17</v>
      </c>
      <c r="W10" s="771">
        <f t="shared" si="2"/>
        <v>105</v>
      </c>
      <c r="X10" s="772"/>
      <c r="Y10" s="3069"/>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'数据-汇总表'!I6</f>
        <v>0.51</v>
      </c>
      <c r="D11" s="136">
        <v>100</v>
      </c>
      <c r="E11" s="429">
        <v>3</v>
      </c>
      <c r="F11" s="136">
        <f>LOOKUP(E11,80:80,81:81)-LOOKUP(C11,80:80,81:81)+100</f>
        <v>118</v>
      </c>
      <c r="G11" s="430">
        <v>2.7</v>
      </c>
      <c r="H11" s="136">
        <f>LOOKUP(G11,80:80,81:81)-LOOKUP(C11,80:80,81:81)+100</f>
        <v>112</v>
      </c>
      <c r="I11" s="429">
        <v>3.1</v>
      </c>
      <c r="J11" s="136">
        <f>LOOKUP(I11,80:80,81:81)-LOOKUP(C11,80:80,81:81)+100</f>
        <v>118</v>
      </c>
      <c r="K11" s="673">
        <v>6</v>
      </c>
      <c r="L11" s="1141"/>
      <c r="M11" s="1134"/>
      <c r="N11" s="1134"/>
      <c r="O11" s="1142"/>
      <c r="P11" s="3265"/>
      <c r="Q11" s="1798" t="str">
        <f t="shared" si="6"/>
        <v>容积率</v>
      </c>
      <c r="R11" s="770" t="s">
        <v>17</v>
      </c>
      <c r="S11" s="771">
        <f t="shared" si="0"/>
        <v>118</v>
      </c>
      <c r="T11" s="770" t="s">
        <v>17</v>
      </c>
      <c r="U11" s="771">
        <f t="shared" si="1"/>
        <v>112</v>
      </c>
      <c r="V11" s="770" t="s">
        <v>17</v>
      </c>
      <c r="W11" s="771">
        <f t="shared" si="2"/>
        <v>118</v>
      </c>
      <c r="X11" s="772"/>
      <c r="Y11" s="3069"/>
      <c r="Z11" s="55" t="str">
        <f t="shared" si="7"/>
        <v>容积率</v>
      </c>
      <c r="AA11" s="773">
        <f t="shared" si="3"/>
        <v>0.84745762711864403</v>
      </c>
      <c r="AB11" s="773">
        <f t="shared" si="4"/>
        <v>0.8928571428571429</v>
      </c>
      <c r="AC11" s="773">
        <f t="shared" si="5"/>
        <v>0.84745762711864403</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5"/>
      <c r="Q12" s="1798" t="str">
        <f t="shared" si="6"/>
        <v>配建</v>
      </c>
      <c r="R12" s="770" t="s">
        <v>17</v>
      </c>
      <c r="S12" s="771">
        <f t="shared" si="0"/>
        <v>100</v>
      </c>
      <c r="T12" s="770" t="s">
        <v>17</v>
      </c>
      <c r="U12" s="771">
        <f t="shared" si="1"/>
        <v>100</v>
      </c>
      <c r="V12" s="770" t="s">
        <v>17</v>
      </c>
      <c r="W12" s="771">
        <f t="shared" si="2"/>
        <v>100</v>
      </c>
      <c r="X12" s="772"/>
      <c r="Y12" s="3069"/>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69"/>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5"/>
      <c r="Q14" s="1798">
        <f t="shared" si="6"/>
        <v>111</v>
      </c>
      <c r="R14" s="770" t="s">
        <v>17</v>
      </c>
      <c r="S14" s="771">
        <f t="shared" si="0"/>
        <v>100</v>
      </c>
      <c r="T14" s="770" t="s">
        <v>17</v>
      </c>
      <c r="U14" s="771">
        <f t="shared" si="1"/>
        <v>100</v>
      </c>
      <c r="V14" s="770" t="s">
        <v>17</v>
      </c>
      <c r="W14" s="771">
        <f t="shared" si="2"/>
        <v>100</v>
      </c>
      <c r="X14" s="772"/>
      <c r="Y14" s="3069"/>
      <c r="Z14" s="55">
        <f t="shared" si="7"/>
        <v>111</v>
      </c>
      <c r="AA14" s="773">
        <f>D14/F14</f>
        <v>1</v>
      </c>
      <c r="AB14" s="773">
        <f>D14/H14</f>
        <v>1</v>
      </c>
      <c r="AC14" s="773">
        <f>D14/J14</f>
        <v>1</v>
      </c>
    </row>
    <row r="15" spans="1:30" ht="99.75">
      <c r="A15" s="440" t="s">
        <v>2558</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7" t="s">
        <v>2559</v>
      </c>
      <c r="Q15" s="1813" t="str">
        <f t="shared" si="6"/>
        <v>居住社区成熟度</v>
      </c>
      <c r="R15" s="774" t="s">
        <v>17</v>
      </c>
      <c r="S15" s="775">
        <f t="shared" si="0"/>
        <v>100</v>
      </c>
      <c r="T15" s="774" t="s">
        <v>17</v>
      </c>
      <c r="U15" s="775">
        <f t="shared" si="1"/>
        <v>100</v>
      </c>
      <c r="V15" s="774" t="s">
        <v>17</v>
      </c>
      <c r="W15" s="775">
        <f t="shared" si="2"/>
        <v>100</v>
      </c>
      <c r="X15" s="1816"/>
      <c r="Y15" s="3267"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68"/>
      <c r="Q16" s="1813"/>
      <c r="R16" s="774"/>
      <c r="S16" s="775"/>
      <c r="T16" s="774"/>
      <c r="U16" s="775"/>
      <c r="V16" s="774"/>
      <c r="W16" s="775"/>
      <c r="X16" s="1816"/>
      <c r="Y16" s="3268"/>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268"/>
      <c r="Q17" s="1813" t="str">
        <f>B17</f>
        <v>商业繁华度</v>
      </c>
      <c r="R17" s="774" t="s">
        <v>17</v>
      </c>
      <c r="S17" s="775">
        <f>F17</f>
        <v>100</v>
      </c>
      <c r="T17" s="774" t="s">
        <v>17</v>
      </c>
      <c r="U17" s="775">
        <f>H17</f>
        <v>100</v>
      </c>
      <c r="V17" s="774" t="s">
        <v>17</v>
      </c>
      <c r="W17" s="775">
        <f>J17</f>
        <v>100</v>
      </c>
      <c r="X17" s="1816"/>
      <c r="Y17" s="3268"/>
      <c r="Z17" s="1817" t="str">
        <f>Q17</f>
        <v>商业繁华度</v>
      </c>
      <c r="AA17" s="1814">
        <f t="shared" si="3"/>
        <v>1</v>
      </c>
      <c r="AB17" s="1814">
        <f t="shared" si="4"/>
        <v>1</v>
      </c>
      <c r="AC17" s="1814">
        <f t="shared" si="5"/>
        <v>1</v>
      </c>
    </row>
    <row r="18" spans="1:29" ht="15">
      <c r="A18" s="428"/>
      <c r="B18" s="456"/>
      <c r="C18" s="2613" t="s">
        <v>3296</v>
      </c>
      <c r="D18" s="450"/>
      <c r="E18" s="2615" t="s">
        <v>3296</v>
      </c>
      <c r="F18" s="450"/>
      <c r="G18" s="2615" t="s">
        <v>3296</v>
      </c>
      <c r="H18" s="448"/>
      <c r="I18" s="2614" t="s">
        <v>3296</v>
      </c>
      <c r="J18" s="448"/>
      <c r="K18" s="672"/>
      <c r="L18" s="1143"/>
      <c r="M18" s="1134"/>
      <c r="N18" s="1134"/>
      <c r="O18" s="1142"/>
      <c r="P18" s="3268"/>
      <c r="Q18" s="1813"/>
      <c r="R18" s="774"/>
      <c r="S18" s="775"/>
      <c r="T18" s="774"/>
      <c r="U18" s="775"/>
      <c r="V18" s="774"/>
      <c r="W18" s="775"/>
      <c r="X18" s="1816"/>
      <c r="Y18" s="3268"/>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102</v>
      </c>
      <c r="K19" s="673">
        <v>2</v>
      </c>
      <c r="L19" s="1143"/>
      <c r="M19" s="1134"/>
      <c r="N19" s="1134"/>
      <c r="O19" s="1142"/>
      <c r="P19" s="3268"/>
      <c r="Q19" s="1813" t="str">
        <f>B19</f>
        <v>办公集聚程度</v>
      </c>
      <c r="R19" s="774" t="s">
        <v>17</v>
      </c>
      <c r="S19" s="775">
        <f>F19</f>
        <v>102</v>
      </c>
      <c r="T19" s="774" t="s">
        <v>17</v>
      </c>
      <c r="U19" s="775">
        <f>H19</f>
        <v>102</v>
      </c>
      <c r="V19" s="774" t="s">
        <v>17</v>
      </c>
      <c r="W19" s="775">
        <f>J19</f>
        <v>102</v>
      </c>
      <c r="X19" s="1816"/>
      <c r="Y19" s="3268"/>
      <c r="Z19" s="1817" t="str">
        <f>Q19</f>
        <v>办公集聚程度</v>
      </c>
      <c r="AA19" s="1814">
        <f t="shared" si="3"/>
        <v>0.98039215686274506</v>
      </c>
      <c r="AB19" s="1814">
        <f t="shared" si="4"/>
        <v>0.98039215686274506</v>
      </c>
      <c r="AC19" s="1814">
        <f t="shared" si="5"/>
        <v>0.98039215686274506</v>
      </c>
    </row>
    <row r="20" spans="1:29" ht="15">
      <c r="A20" s="428"/>
      <c r="B20" s="456"/>
      <c r="C20" s="447" t="s">
        <v>3296</v>
      </c>
      <c r="D20" s="448"/>
      <c r="E20" s="2610" t="s">
        <v>3297</v>
      </c>
      <c r="F20" s="448"/>
      <c r="G20" s="2610" t="s">
        <v>3297</v>
      </c>
      <c r="H20" s="448"/>
      <c r="I20" s="2609" t="s">
        <v>3297</v>
      </c>
      <c r="J20" s="448"/>
      <c r="K20" s="672"/>
      <c r="L20" s="1143"/>
      <c r="M20" s="1134"/>
      <c r="N20" s="1134"/>
      <c r="O20" s="1142"/>
      <c r="P20" s="3268"/>
      <c r="Q20" s="1813"/>
      <c r="R20" s="774"/>
      <c r="S20" s="775"/>
      <c r="T20" s="774"/>
      <c r="U20" s="775"/>
      <c r="V20" s="774"/>
      <c r="W20" s="775"/>
      <c r="X20" s="1816"/>
      <c r="Y20" s="3268"/>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8"/>
      <c r="Q21" s="1813" t="str">
        <f>B21</f>
        <v>交通便捷度</v>
      </c>
      <c r="R21" s="774" t="s">
        <v>17</v>
      </c>
      <c r="S21" s="775">
        <f>F21</f>
        <v>100</v>
      </c>
      <c r="T21" s="774" t="s">
        <v>17</v>
      </c>
      <c r="U21" s="775">
        <f>H21</f>
        <v>100</v>
      </c>
      <c r="V21" s="774" t="s">
        <v>17</v>
      </c>
      <c r="W21" s="775">
        <f>J21</f>
        <v>100</v>
      </c>
      <c r="X21" s="1816"/>
      <c r="Y21" s="3268"/>
      <c r="Z21" s="1817" t="str">
        <f>Q21</f>
        <v>交通便捷度</v>
      </c>
      <c r="AA21" s="1814">
        <f t="shared" si="3"/>
        <v>1</v>
      </c>
      <c r="AB21" s="1814">
        <f t="shared" si="4"/>
        <v>1</v>
      </c>
      <c r="AC21" s="1814">
        <f t="shared" si="5"/>
        <v>1</v>
      </c>
    </row>
    <row r="22" spans="1:29" ht="15">
      <c r="A22" s="428"/>
      <c r="B22" s="1387"/>
      <c r="C22" s="447" t="s">
        <v>3297</v>
      </c>
      <c r="D22" s="450"/>
      <c r="E22" s="2610" t="s">
        <v>3297</v>
      </c>
      <c r="F22" s="448"/>
      <c r="G22" s="2610" t="s">
        <v>3297</v>
      </c>
      <c r="H22" s="448"/>
      <c r="I22" s="2609" t="s">
        <v>3297</v>
      </c>
      <c r="J22" s="448"/>
      <c r="K22" s="672"/>
      <c r="L22" s="1143"/>
      <c r="M22" s="1134"/>
      <c r="N22" s="1134"/>
      <c r="O22" s="1142"/>
      <c r="P22" s="3268"/>
      <c r="Q22" s="1813"/>
      <c r="R22" s="774"/>
      <c r="S22" s="775"/>
      <c r="T22" s="774"/>
      <c r="U22" s="775"/>
      <c r="V22" s="774"/>
      <c r="W22" s="775"/>
      <c r="X22" s="1816"/>
      <c r="Y22" s="3268"/>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8"/>
      <c r="Q23" s="1813" t="str">
        <f t="shared" ref="Q23:Q37" si="8">B23</f>
        <v>区域土地利用方向</v>
      </c>
      <c r="R23" s="774" t="s">
        <v>17</v>
      </c>
      <c r="S23" s="775">
        <f>F23</f>
        <v>100</v>
      </c>
      <c r="T23" s="774" t="s">
        <v>17</v>
      </c>
      <c r="U23" s="775">
        <f>H23</f>
        <v>100</v>
      </c>
      <c r="V23" s="774" t="s">
        <v>17</v>
      </c>
      <c r="W23" s="775">
        <f>J23</f>
        <v>100</v>
      </c>
      <c r="X23" s="1816"/>
      <c r="Y23" s="3268"/>
      <c r="Z23" s="1817" t="str">
        <f>Q23</f>
        <v>区域土地利用方向</v>
      </c>
      <c r="AA23" s="1814">
        <f t="shared" si="3"/>
        <v>1</v>
      </c>
      <c r="AB23" s="1814">
        <f t="shared" si="4"/>
        <v>1</v>
      </c>
      <c r="AC23" s="1814">
        <f t="shared" si="5"/>
        <v>1</v>
      </c>
    </row>
    <row r="24" spans="1:29" ht="15">
      <c r="A24" s="404"/>
      <c r="B24" s="456"/>
      <c r="C24" s="616" t="s">
        <v>3297</v>
      </c>
      <c r="D24" s="448"/>
      <c r="E24" s="2610" t="s">
        <v>3297</v>
      </c>
      <c r="F24" s="448"/>
      <c r="G24" s="2609" t="s">
        <v>3297</v>
      </c>
      <c r="H24" s="448"/>
      <c r="I24" s="2609" t="s">
        <v>3297</v>
      </c>
      <c r="J24" s="448"/>
      <c r="K24" s="812"/>
      <c r="L24" s="1143"/>
      <c r="M24" s="1134"/>
      <c r="N24" s="1134"/>
      <c r="O24" s="1142"/>
      <c r="P24" s="3268"/>
      <c r="Q24" s="1813"/>
      <c r="R24" s="774"/>
      <c r="S24" s="775"/>
      <c r="T24" s="774"/>
      <c r="U24" s="775"/>
      <c r="V24" s="774"/>
      <c r="W24" s="775"/>
      <c r="X24" s="1816"/>
      <c r="Y24" s="3268"/>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8"/>
      <c r="Q25" s="1813" t="str">
        <f t="shared" si="8"/>
        <v>自然及人文环境状况</v>
      </c>
      <c r="R25" s="774" t="s">
        <v>17</v>
      </c>
      <c r="S25" s="775">
        <f>F25</f>
        <v>100</v>
      </c>
      <c r="T25" s="774" t="s">
        <v>17</v>
      </c>
      <c r="U25" s="775">
        <f>H25</f>
        <v>100</v>
      </c>
      <c r="V25" s="774" t="s">
        <v>17</v>
      </c>
      <c r="W25" s="775">
        <f>J25</f>
        <v>100</v>
      </c>
      <c r="X25" s="1816"/>
      <c r="Y25" s="3268"/>
      <c r="Z25" s="1817" t="str">
        <f>Q25</f>
        <v>自然及人文环境状况</v>
      </c>
      <c r="AA25" s="1814">
        <f t="shared" si="3"/>
        <v>1</v>
      </c>
      <c r="AB25" s="1814">
        <f t="shared" si="4"/>
        <v>1</v>
      </c>
      <c r="AC25" s="1814">
        <f t="shared" si="5"/>
        <v>1</v>
      </c>
    </row>
    <row r="26" spans="1:29" ht="15">
      <c r="A26" s="404"/>
      <c r="B26" s="456"/>
      <c r="C26" s="447" t="s">
        <v>3355</v>
      </c>
      <c r="D26" s="448"/>
      <c r="E26" s="2616" t="s">
        <v>3355</v>
      </c>
      <c r="F26" s="448"/>
      <c r="G26" s="2616" t="s">
        <v>3355</v>
      </c>
      <c r="H26" s="448"/>
      <c r="I26" s="447" t="s">
        <v>3355</v>
      </c>
      <c r="J26" s="448"/>
      <c r="K26" s="672"/>
      <c r="L26" s="1143"/>
      <c r="M26" s="1134"/>
      <c r="N26" s="1134"/>
      <c r="O26" s="1142"/>
      <c r="P26" s="3268"/>
      <c r="Q26" s="1813"/>
      <c r="R26" s="774"/>
      <c r="S26" s="775"/>
      <c r="T26" s="774"/>
      <c r="U26" s="775"/>
      <c r="V26" s="774"/>
      <c r="W26" s="775"/>
      <c r="X26" s="1816"/>
      <c r="Y26" s="3268"/>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8"/>
      <c r="Q27" s="1798" t="str">
        <f t="shared" si="8"/>
        <v>公共配套设施</v>
      </c>
      <c r="R27" s="770" t="s">
        <v>17</v>
      </c>
      <c r="S27" s="771">
        <f>F27</f>
        <v>100</v>
      </c>
      <c r="T27" s="770" t="s">
        <v>17</v>
      </c>
      <c r="U27" s="771">
        <f>H27</f>
        <v>100</v>
      </c>
      <c r="V27" s="770" t="s">
        <v>17</v>
      </c>
      <c r="W27" s="771">
        <f>J27</f>
        <v>100</v>
      </c>
      <c r="X27" s="772"/>
      <c r="Y27" s="3268"/>
      <c r="Z27" s="55" t="str">
        <f>Q27</f>
        <v>公共配套设施</v>
      </c>
      <c r="AA27" s="1814">
        <f>D27/F27</f>
        <v>1</v>
      </c>
      <c r="AB27" s="1814">
        <f>D27/H27</f>
        <v>1</v>
      </c>
      <c r="AC27" s="1814">
        <f>D27/J27</f>
        <v>1</v>
      </c>
    </row>
    <row r="28" spans="1:29" s="117" customFormat="1" ht="15">
      <c r="A28" s="649"/>
      <c r="B28" s="456"/>
      <c r="C28" s="2705" t="s">
        <v>3296</v>
      </c>
      <c r="D28" s="448"/>
      <c r="E28" s="2616" t="s">
        <v>3296</v>
      </c>
      <c r="F28" s="448"/>
      <c r="G28" s="2616" t="s">
        <v>3296</v>
      </c>
      <c r="H28" s="448"/>
      <c r="I28" s="447" t="s">
        <v>3296</v>
      </c>
      <c r="J28" s="448"/>
      <c r="K28" s="672"/>
      <c r="L28" s="1135"/>
      <c r="M28" s="1136"/>
      <c r="N28" s="1136"/>
      <c r="O28" s="1137"/>
      <c r="P28" s="3268"/>
      <c r="Q28" s="1798"/>
      <c r="R28" s="770"/>
      <c r="S28" s="771"/>
      <c r="T28" s="770"/>
      <c r="U28" s="771"/>
      <c r="V28" s="770"/>
      <c r="W28" s="771"/>
      <c r="X28" s="772"/>
      <c r="Y28" s="3268"/>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8"/>
      <c r="Q29" s="1798" t="str">
        <f t="shared" ref="Q29" si="9">B29</f>
        <v>基础设施水平</v>
      </c>
      <c r="R29" s="770" t="s">
        <v>17</v>
      </c>
      <c r="S29" s="771">
        <f>F29</f>
        <v>100</v>
      </c>
      <c r="T29" s="770" t="s">
        <v>17</v>
      </c>
      <c r="U29" s="771">
        <f>H29</f>
        <v>100</v>
      </c>
      <c r="V29" s="770" t="s">
        <v>17</v>
      </c>
      <c r="W29" s="771">
        <f>J29</f>
        <v>100</v>
      </c>
      <c r="X29" s="772"/>
      <c r="Y29" s="3268"/>
      <c r="Z29" s="55" t="str">
        <f>Q29</f>
        <v>基础设施水平</v>
      </c>
      <c r="AA29" s="1814">
        <f>D29/F29</f>
        <v>1</v>
      </c>
      <c r="AB29" s="1814">
        <f>D29/H29</f>
        <v>1</v>
      </c>
      <c r="AC29" s="1814">
        <f>D29/J29</f>
        <v>1</v>
      </c>
    </row>
    <row r="30" spans="1:29" s="117" customFormat="1" ht="15">
      <c r="A30" s="649"/>
      <c r="B30" s="456"/>
      <c r="C30" s="2705" t="s">
        <v>3298</v>
      </c>
      <c r="D30" s="448"/>
      <c r="E30" s="2706" t="s">
        <v>3298</v>
      </c>
      <c r="F30" s="448"/>
      <c r="G30" s="2706" t="s">
        <v>3298</v>
      </c>
      <c r="H30" s="448"/>
      <c r="I30" s="2706" t="s">
        <v>3298</v>
      </c>
      <c r="J30" s="448"/>
      <c r="K30" s="672"/>
      <c r="L30" s="1135"/>
      <c r="M30" s="1136"/>
      <c r="N30" s="1136"/>
      <c r="O30" s="1137"/>
      <c r="P30" s="3268"/>
      <c r="Q30" s="1798"/>
      <c r="R30" s="770"/>
      <c r="S30" s="771"/>
      <c r="T30" s="770"/>
      <c r="U30" s="771"/>
      <c r="V30" s="770"/>
      <c r="W30" s="771"/>
      <c r="X30" s="772"/>
      <c r="Y30" s="3268"/>
      <c r="Z30" s="55"/>
      <c r="AA30" s="1814">
        <v>1</v>
      </c>
      <c r="AB30" s="1814">
        <v>1</v>
      </c>
      <c r="AC30" s="1814">
        <v>1</v>
      </c>
    </row>
    <row r="31" spans="1:29" ht="15">
      <c r="A31" s="428"/>
      <c r="B31" s="456" t="s">
        <v>2655</v>
      </c>
      <c r="C31" s="616" t="s">
        <v>3299</v>
      </c>
      <c r="D31" s="435">
        <v>100</v>
      </c>
      <c r="E31" s="634" t="s">
        <v>3299</v>
      </c>
      <c r="F31" s="435">
        <f>SUMIF(104:104,E31,105:105)-SUMIF(104:104,C31,105:105)+100</f>
        <v>100</v>
      </c>
      <c r="G31" s="634" t="s">
        <v>3299</v>
      </c>
      <c r="H31" s="435">
        <f>SUMIF(104:104,G31,105:105)-SUMIF(104:104,C31,105:105)+100</f>
        <v>100</v>
      </c>
      <c r="I31" s="634" t="s">
        <v>3299</v>
      </c>
      <c r="J31" s="435">
        <f>SUMIF(104:104,I31,105:105)-SUMIF(104:104,C31,105:105)+100</f>
        <v>100</v>
      </c>
      <c r="K31" s="673"/>
      <c r="L31" s="1143"/>
      <c r="M31" s="1134"/>
      <c r="N31" s="1134"/>
      <c r="O31" s="1142"/>
      <c r="P31" s="326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8"/>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8"/>
      <c r="Q32" s="1813" t="str">
        <f t="shared" si="8"/>
        <v>毗邻道路的类型与等级</v>
      </c>
      <c r="R32" s="774" t="s">
        <v>17</v>
      </c>
      <c r="S32" s="775">
        <f t="shared" si="10"/>
        <v>100</v>
      </c>
      <c r="T32" s="774" t="s">
        <v>17</v>
      </c>
      <c r="U32" s="775">
        <f t="shared" si="11"/>
        <v>100</v>
      </c>
      <c r="V32" s="774" t="s">
        <v>17</v>
      </c>
      <c r="W32" s="775">
        <f t="shared" si="12"/>
        <v>100</v>
      </c>
      <c r="X32" s="1816"/>
      <c r="Y32" s="3268"/>
      <c r="Z32" s="1817" t="str">
        <f t="shared" si="13"/>
        <v>毗邻道路的类型与等级</v>
      </c>
      <c r="AA32" s="1814">
        <f t="shared" si="3"/>
        <v>1</v>
      </c>
      <c r="AB32" s="1814">
        <f t="shared" si="4"/>
        <v>1</v>
      </c>
      <c r="AC32" s="1814">
        <f t="shared" si="5"/>
        <v>1</v>
      </c>
    </row>
    <row r="33" spans="1:29" ht="15">
      <c r="A33" s="428"/>
      <c r="B33" s="456"/>
      <c r="C33" s="447" t="s">
        <v>3300</v>
      </c>
      <c r="D33" s="448"/>
      <c r="E33" s="2616" t="s">
        <v>3300</v>
      </c>
      <c r="F33" s="448"/>
      <c r="G33" s="2616" t="s">
        <v>3300</v>
      </c>
      <c r="H33" s="448"/>
      <c r="I33" s="447" t="s">
        <v>3300</v>
      </c>
      <c r="J33" s="448"/>
      <c r="K33" s="613"/>
      <c r="L33" s="1143"/>
      <c r="M33" s="1134"/>
      <c r="N33" s="1134"/>
      <c r="O33" s="1142"/>
      <c r="P33" s="3268"/>
      <c r="Q33" s="1813"/>
      <c r="R33" s="774"/>
      <c r="S33" s="775"/>
      <c r="T33" s="774"/>
      <c r="U33" s="775"/>
      <c r="V33" s="774"/>
      <c r="W33" s="775"/>
      <c r="X33" s="1816"/>
      <c r="Y33" s="3268"/>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8"/>
      <c r="Q34" s="1813" t="str">
        <f t="shared" si="8"/>
        <v>土地级别</v>
      </c>
      <c r="R34" s="774" t="s">
        <v>17</v>
      </c>
      <c r="S34" s="775">
        <f t="shared" si="10"/>
        <v>100</v>
      </c>
      <c r="T34" s="774" t="s">
        <v>17</v>
      </c>
      <c r="U34" s="775">
        <f t="shared" si="11"/>
        <v>100</v>
      </c>
      <c r="V34" s="774" t="s">
        <v>17</v>
      </c>
      <c r="W34" s="775">
        <f t="shared" si="12"/>
        <v>100</v>
      </c>
      <c r="X34" s="1816"/>
      <c r="Y34" s="326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8"/>
      <c r="Q35" s="1813">
        <f t="shared" si="8"/>
        <v>111</v>
      </c>
      <c r="R35" s="774" t="s">
        <v>17</v>
      </c>
      <c r="S35" s="775">
        <f t="shared" si="10"/>
        <v>100</v>
      </c>
      <c r="T35" s="774" t="s">
        <v>17</v>
      </c>
      <c r="U35" s="775">
        <f t="shared" si="11"/>
        <v>100</v>
      </c>
      <c r="V35" s="774" t="s">
        <v>17</v>
      </c>
      <c r="W35" s="775">
        <f t="shared" si="12"/>
        <v>100</v>
      </c>
      <c r="X35" s="1816"/>
      <c r="Y35" s="326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91" t="s">
        <v>2564</v>
      </c>
      <c r="Q36" s="1813">
        <f t="shared" si="8"/>
        <v>111</v>
      </c>
      <c r="R36" s="774" t="s">
        <v>17</v>
      </c>
      <c r="S36" s="775">
        <f t="shared" si="10"/>
        <v>100</v>
      </c>
      <c r="T36" s="774" t="s">
        <v>17</v>
      </c>
      <c r="U36" s="775">
        <f t="shared" si="11"/>
        <v>100</v>
      </c>
      <c r="V36" s="774" t="s">
        <v>17</v>
      </c>
      <c r="W36" s="775">
        <f t="shared" si="12"/>
        <v>100</v>
      </c>
      <c r="X36" s="1816"/>
      <c r="Y36" s="3272"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2"/>
      <c r="Q37" s="1813">
        <f t="shared" si="8"/>
        <v>111</v>
      </c>
      <c r="R37" s="777" t="s">
        <v>17</v>
      </c>
      <c r="S37" s="778">
        <f t="shared" si="10"/>
        <v>100</v>
      </c>
      <c r="T37" s="777" t="s">
        <v>17</v>
      </c>
      <c r="U37" s="778">
        <f t="shared" si="11"/>
        <v>100</v>
      </c>
      <c r="V37" s="777" t="s">
        <v>17</v>
      </c>
      <c r="W37" s="778">
        <f t="shared" si="12"/>
        <v>100</v>
      </c>
      <c r="X37" s="779"/>
      <c r="Y37" s="3272"/>
      <c r="Z37" s="780">
        <f t="shared" si="13"/>
        <v>111</v>
      </c>
      <c r="AA37" s="1814">
        <f t="shared" si="3"/>
        <v>1</v>
      </c>
      <c r="AB37" s="1814">
        <f t="shared" si="4"/>
        <v>1</v>
      </c>
      <c r="AC37" s="1814">
        <f t="shared" si="5"/>
        <v>1</v>
      </c>
    </row>
    <row r="38" spans="1:29" ht="15">
      <c r="A38" s="472" t="s">
        <v>2562</v>
      </c>
      <c r="B38" s="456" t="s">
        <v>2750</v>
      </c>
      <c r="C38" s="3353">
        <f>'数据-汇总表'!D3</f>
        <v>40347.69</v>
      </c>
      <c r="D38" s="467">
        <v>100</v>
      </c>
      <c r="E38" s="679">
        <f>土地案例!E2</f>
        <v>45336</v>
      </c>
      <c r="F38" s="467">
        <f>LOOKUP(E38,117:117,118:118)-LOOKUP(C38,117:117,118:118)+100</f>
        <v>100</v>
      </c>
      <c r="G38" s="679">
        <f>土地案例!D4</f>
        <v>16688</v>
      </c>
      <c r="H38" s="467">
        <f>LOOKUP(G38,117:117,118:118)-LOOKUP(C38,117:117,118:118)+100</f>
        <v>98</v>
      </c>
      <c r="I38" s="530">
        <f>土地案例!D5</f>
        <v>29583</v>
      </c>
      <c r="J38" s="467">
        <f>LOOKUP(I38,117:117,118:118)-LOOKUP(C38,117:117,118:118)+100</f>
        <v>100</v>
      </c>
      <c r="K38" s="613"/>
      <c r="L38" s="1143"/>
      <c r="M38" s="1134"/>
      <c r="N38" s="1134"/>
      <c r="O38" s="1142"/>
      <c r="P38" s="3272"/>
      <c r="Q38" s="1813" t="str">
        <f>B38</f>
        <v>宗地面积</v>
      </c>
      <c r="R38" s="774" t="s">
        <v>17</v>
      </c>
      <c r="S38" s="775">
        <f t="shared" si="10"/>
        <v>100</v>
      </c>
      <c r="T38" s="774" t="s">
        <v>17</v>
      </c>
      <c r="U38" s="775">
        <f t="shared" si="11"/>
        <v>98</v>
      </c>
      <c r="V38" s="774" t="s">
        <v>17</v>
      </c>
      <c r="W38" s="775">
        <f t="shared" si="12"/>
        <v>100</v>
      </c>
      <c r="X38" s="1816"/>
      <c r="Y38" s="3272"/>
      <c r="Z38" s="1817" t="str">
        <f t="shared" si="13"/>
        <v>宗地面积</v>
      </c>
      <c r="AA38" s="1814">
        <f t="shared" si="3"/>
        <v>1</v>
      </c>
      <c r="AB38" s="1814">
        <f t="shared" si="4"/>
        <v>1.0204081632653061</v>
      </c>
      <c r="AC38" s="1814">
        <f t="shared" si="5"/>
        <v>1</v>
      </c>
    </row>
    <row r="39" spans="1:29" ht="15">
      <c r="A39" s="472"/>
      <c r="B39" s="422" t="s">
        <v>2751</v>
      </c>
      <c r="C39" s="2618" t="s">
        <v>3365</v>
      </c>
      <c r="D39" s="435">
        <v>100</v>
      </c>
      <c r="E39" s="2618" t="s">
        <v>3365</v>
      </c>
      <c r="F39" s="435">
        <f>SUMIF(119:119,E39,120:120)-SUMIF(119:119,C39,120:120)+100</f>
        <v>100</v>
      </c>
      <c r="G39" s="2618" t="s">
        <v>3365</v>
      </c>
      <c r="H39" s="435">
        <f>SUMIF(119:119,G39,120:120)-SUMIF(119:119,C39,120:120)+100</f>
        <v>100</v>
      </c>
      <c r="I39" s="2618" t="s">
        <v>3365</v>
      </c>
      <c r="J39" s="435">
        <f>SUMIF(119:119,I39,120:120)-SUMIF(119:119,C39,120:120)+100</f>
        <v>100</v>
      </c>
      <c r="K39" s="612">
        <v>2</v>
      </c>
      <c r="L39" s="1143"/>
      <c r="M39" s="1134"/>
      <c r="N39" s="1134"/>
      <c r="O39" s="1142"/>
      <c r="P39" s="3272"/>
      <c r="Q39" s="1813" t="str">
        <f t="shared" ref="Q39:Q45" si="14">B39</f>
        <v>宗地形状</v>
      </c>
      <c r="R39" s="774" t="s">
        <v>17</v>
      </c>
      <c r="S39" s="775">
        <f t="shared" si="10"/>
        <v>100</v>
      </c>
      <c r="T39" s="774" t="s">
        <v>17</v>
      </c>
      <c r="U39" s="775">
        <f t="shared" si="11"/>
        <v>100</v>
      </c>
      <c r="V39" s="774" t="s">
        <v>17</v>
      </c>
      <c r="W39" s="775">
        <f t="shared" si="12"/>
        <v>100</v>
      </c>
      <c r="X39" s="1816"/>
      <c r="Y39" s="3272"/>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72"/>
      <c r="Q40" s="1813" t="str">
        <f t="shared" si="14"/>
        <v>临街宽度及深度</v>
      </c>
      <c r="R40" s="774" t="s">
        <v>17</v>
      </c>
      <c r="S40" s="775">
        <f t="shared" si="10"/>
        <v>100</v>
      </c>
      <c r="T40" s="774" t="s">
        <v>17</v>
      </c>
      <c r="U40" s="775">
        <f t="shared" si="11"/>
        <v>100</v>
      </c>
      <c r="V40" s="774" t="s">
        <v>17</v>
      </c>
      <c r="W40" s="775">
        <f t="shared" si="12"/>
        <v>100</v>
      </c>
      <c r="X40" s="1816"/>
      <c r="Y40" s="3272"/>
      <c r="Z40" s="1817" t="str">
        <f t="shared" si="13"/>
        <v>临街宽度及深度</v>
      </c>
      <c r="AA40" s="1814">
        <f t="shared" si="3"/>
        <v>1</v>
      </c>
      <c r="AB40" s="1814">
        <f t="shared" si="4"/>
        <v>1</v>
      </c>
      <c r="AC40" s="1814">
        <f t="shared" si="5"/>
        <v>1</v>
      </c>
    </row>
    <row r="41" spans="1:29" s="117" customFormat="1" ht="15">
      <c r="A41" s="473"/>
      <c r="B41" s="422" t="s">
        <v>2753</v>
      </c>
      <c r="C41" s="2707" t="s">
        <v>3298</v>
      </c>
      <c r="D41" s="136">
        <v>100</v>
      </c>
      <c r="E41" s="2707" t="s">
        <v>3301</v>
      </c>
      <c r="F41" s="435">
        <f>SUMIF(123:123,E41,124:124)-SUMIF(123:123,C41,124:124)+100</f>
        <v>94</v>
      </c>
      <c r="G41" s="2707" t="s">
        <v>3301</v>
      </c>
      <c r="H41" s="435">
        <f>SUMIF(123:123,G41,124:124)-SUMIF(123:123,C41,124:124)+100</f>
        <v>94</v>
      </c>
      <c r="I41" s="2707" t="s">
        <v>3301</v>
      </c>
      <c r="J41" s="435">
        <f>SUMIF(123:123,I41,124:124)-SUMIF(123:123,C41,124:124)+100</f>
        <v>94</v>
      </c>
      <c r="K41" s="612">
        <v>2</v>
      </c>
      <c r="L41" s="1135"/>
      <c r="M41" s="1136"/>
      <c r="N41" s="1136"/>
      <c r="O41" s="1137"/>
      <c r="P41" s="3272"/>
      <c r="Q41" s="1813" t="str">
        <f t="shared" si="14"/>
        <v>宗地开发程度</v>
      </c>
      <c r="R41" s="770" t="s">
        <v>17</v>
      </c>
      <c r="S41" s="771">
        <f t="shared" si="10"/>
        <v>94</v>
      </c>
      <c r="T41" s="770" t="s">
        <v>17</v>
      </c>
      <c r="U41" s="771">
        <f t="shared" si="11"/>
        <v>94</v>
      </c>
      <c r="V41" s="770" t="s">
        <v>17</v>
      </c>
      <c r="W41" s="771">
        <f t="shared" si="12"/>
        <v>94</v>
      </c>
      <c r="X41" s="772"/>
      <c r="Y41" s="3272"/>
      <c r="Z41" s="55" t="str">
        <f t="shared" si="13"/>
        <v>宗地开发程度</v>
      </c>
      <c r="AA41" s="773">
        <f t="shared" si="3"/>
        <v>1.0638297872340425</v>
      </c>
      <c r="AB41" s="773">
        <f t="shared" si="4"/>
        <v>1.0638297872340425</v>
      </c>
      <c r="AC41" s="773">
        <f t="shared" si="5"/>
        <v>1.0638297872340425</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72" t="s">
        <v>2564</v>
      </c>
      <c r="Q42" s="1813" t="str">
        <f t="shared" si="14"/>
        <v>工程地质条件</v>
      </c>
      <c r="R42" s="774" t="s">
        <v>17</v>
      </c>
      <c r="S42" s="775">
        <f t="shared" si="10"/>
        <v>100</v>
      </c>
      <c r="T42" s="774" t="s">
        <v>17</v>
      </c>
      <c r="U42" s="775">
        <f t="shared" si="11"/>
        <v>100</v>
      </c>
      <c r="V42" s="774" t="s">
        <v>17</v>
      </c>
      <c r="W42" s="775">
        <f t="shared" si="12"/>
        <v>100</v>
      </c>
      <c r="X42" s="1816"/>
      <c r="Y42" s="3272"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2"/>
      <c r="Q43" s="1813">
        <f t="shared" si="14"/>
        <v>111</v>
      </c>
      <c r="R43" s="774" t="s">
        <v>17</v>
      </c>
      <c r="S43" s="775">
        <f t="shared" si="10"/>
        <v>100</v>
      </c>
      <c r="T43" s="774" t="s">
        <v>17</v>
      </c>
      <c r="U43" s="775">
        <f t="shared" si="11"/>
        <v>100</v>
      </c>
      <c r="V43" s="774" t="s">
        <v>17</v>
      </c>
      <c r="W43" s="775">
        <f t="shared" si="12"/>
        <v>100</v>
      </c>
      <c r="X43" s="1816"/>
      <c r="Y43" s="327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2"/>
      <c r="Q44" s="1813">
        <f t="shared" si="14"/>
        <v>111</v>
      </c>
      <c r="R44" s="774" t="s">
        <v>17</v>
      </c>
      <c r="S44" s="775">
        <f t="shared" si="10"/>
        <v>100</v>
      </c>
      <c r="T44" s="774" t="s">
        <v>17</v>
      </c>
      <c r="U44" s="775">
        <f t="shared" si="11"/>
        <v>100</v>
      </c>
      <c r="V44" s="774" t="s">
        <v>17</v>
      </c>
      <c r="W44" s="775">
        <f t="shared" si="12"/>
        <v>100</v>
      </c>
      <c r="X44" s="1816"/>
      <c r="Y44" s="3272"/>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2"/>
      <c r="Q45" s="1813">
        <f t="shared" si="14"/>
        <v>111</v>
      </c>
      <c r="R45" s="777" t="s">
        <v>17</v>
      </c>
      <c r="S45" s="778">
        <f t="shared" si="10"/>
        <v>100</v>
      </c>
      <c r="T45" s="777" t="s">
        <v>17</v>
      </c>
      <c r="U45" s="778">
        <f t="shared" si="11"/>
        <v>100</v>
      </c>
      <c r="V45" s="777" t="s">
        <v>17</v>
      </c>
      <c r="W45" s="778">
        <f t="shared" si="12"/>
        <v>100</v>
      </c>
      <c r="X45" s="779"/>
      <c r="Y45" s="3272"/>
      <c r="Z45" s="780">
        <f t="shared" si="13"/>
        <v>111</v>
      </c>
      <c r="AA45" s="1814">
        <f t="shared" si="3"/>
        <v>1</v>
      </c>
      <c r="AB45" s="1814">
        <f t="shared" si="4"/>
        <v>1</v>
      </c>
      <c r="AC45" s="1814">
        <f t="shared" si="5"/>
        <v>1</v>
      </c>
    </row>
    <row r="46" spans="1:29" ht="15">
      <c r="A46" s="479" t="s">
        <v>2719</v>
      </c>
      <c r="B46" s="2709" t="s">
        <v>3302</v>
      </c>
      <c r="C46" s="682" t="s">
        <v>1</v>
      </c>
      <c r="D46" s="481"/>
      <c r="E46" s="482">
        <f>土地案例!M2</f>
        <v>2148</v>
      </c>
      <c r="F46" s="483"/>
      <c r="G46" s="484">
        <f>土地案例!M4</f>
        <v>1620</v>
      </c>
      <c r="H46" s="485"/>
      <c r="I46" s="482">
        <f>土地案例!M5</f>
        <v>1860</v>
      </c>
      <c r="J46" s="485"/>
      <c r="K46" s="783"/>
      <c r="L46" s="1146"/>
      <c r="M46" s="1147"/>
      <c r="N46" s="1134"/>
      <c r="O46" s="1147"/>
      <c r="P46" s="3265" t="str">
        <f>A46</f>
        <v>成交单价</v>
      </c>
      <c r="Q46" s="3265"/>
      <c r="R46" s="3260">
        <f>E46</f>
        <v>2148</v>
      </c>
      <c r="S46" s="3260"/>
      <c r="T46" s="3260">
        <f>G46</f>
        <v>1620</v>
      </c>
      <c r="U46" s="3260"/>
      <c r="V46" s="3260">
        <f>I46</f>
        <v>1860</v>
      </c>
      <c r="W46" s="3260"/>
      <c r="X46" s="759"/>
      <c r="Y46" s="781"/>
      <c r="Z46" s="759"/>
      <c r="AA46" s="759"/>
      <c r="AB46" s="759"/>
      <c r="AC46" s="759"/>
    </row>
    <row r="47" spans="1:29" ht="15.75" thickBot="1">
      <c r="A47" s="486" t="s">
        <v>2668</v>
      </c>
      <c r="B47" s="683"/>
      <c r="C47" s="490">
        <f>R48</f>
        <v>1613</v>
      </c>
      <c r="D47" s="489"/>
      <c r="E47" s="490">
        <f>R47</f>
        <v>1808</v>
      </c>
      <c r="F47" s="491"/>
      <c r="G47" s="488">
        <f>T47</f>
        <v>1466</v>
      </c>
      <c r="H47" s="489"/>
      <c r="I47" s="490">
        <f>V47</f>
        <v>1566</v>
      </c>
      <c r="J47" s="489"/>
      <c r="K47" s="784"/>
      <c r="L47" s="1146"/>
      <c r="M47" s="1147">
        <v>3</v>
      </c>
      <c r="N47" s="1147"/>
      <c r="O47" s="1147"/>
      <c r="P47" s="3265" t="str">
        <f>A47</f>
        <v>比较价值（元/平方米）</v>
      </c>
      <c r="Q47" s="3265"/>
      <c r="R47" s="3293">
        <f>ROUND(PRODUCT(R46,AA7:AA45),0)</f>
        <v>1808</v>
      </c>
      <c r="S47" s="3293"/>
      <c r="T47" s="3293">
        <f>ROUND(PRODUCT(T46,AB7:AB45),0)</f>
        <v>1466</v>
      </c>
      <c r="U47" s="3293"/>
      <c r="V47" s="3293">
        <f>ROUND(PRODUCT(V46,AC7:AC45),0)</f>
        <v>1566</v>
      </c>
      <c r="W47" s="3293"/>
      <c r="X47" s="759"/>
      <c r="Y47" s="759"/>
      <c r="Z47" s="759"/>
      <c r="AA47" s="759"/>
      <c r="AB47" s="759"/>
      <c r="AC47" s="759"/>
    </row>
    <row r="48" spans="1:29" ht="15.75" thickBot="1">
      <c r="A48" s="492" t="s">
        <v>2755</v>
      </c>
      <c r="B48" s="493"/>
      <c r="C48" s="494">
        <f>R48</f>
        <v>1613</v>
      </c>
      <c r="D48" s="494"/>
      <c r="E48" s="494"/>
      <c r="F48" s="494"/>
      <c r="G48" s="494"/>
      <c r="H48" s="494"/>
      <c r="I48" s="494"/>
      <c r="J48" s="494"/>
      <c r="K48" s="785"/>
      <c r="L48" s="1146"/>
      <c r="M48" s="1147">
        <v>7</v>
      </c>
      <c r="N48" s="1147"/>
      <c r="O48" s="1147"/>
      <c r="P48" s="3262" t="str">
        <f>A48</f>
        <v>估价对象XX用房的比较价值（楼面单价，元/平方米）</v>
      </c>
      <c r="Q48" s="3263"/>
      <c r="R48" s="3294">
        <f>ROUND(AVERAGE(R47:V47),0)</f>
        <v>1613</v>
      </c>
      <c r="S48" s="3294"/>
      <c r="T48" s="3294"/>
      <c r="U48" s="3294"/>
      <c r="V48" s="3294"/>
      <c r="W48" s="329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0.18805309734513265</v>
      </c>
      <c r="F51" s="500" t="str">
        <f>IF(OR(E51&gt;=0.3,E51&lt;=-0.3),"超过30%","")</f>
        <v/>
      </c>
      <c r="G51" s="499">
        <f>IF(G46&lt;G47,G47/G46-1,G46/G47-1)</f>
        <v>0.10504774897680758</v>
      </c>
      <c r="H51" s="500" t="str">
        <f>IF(OR(G51&gt;=0.3,G51&lt;=-0.3),"超过30%","")</f>
        <v/>
      </c>
      <c r="I51" s="499">
        <f>IF(I46&lt;I47,I47/I46-1,I46/I47-1)</f>
        <v>0.1877394636015326</v>
      </c>
      <c r="J51" s="500" t="str">
        <f>IF(OR(I51&gt;=0.3,I51&lt;=-0.3),"超过30%","")</f>
        <v/>
      </c>
      <c r="K51" s="1108"/>
      <c r="L51" s="1109"/>
      <c r="M51" s="1147"/>
      <c r="N51" s="1147"/>
      <c r="O51" s="1147"/>
    </row>
    <row r="52" spans="1:15" ht="13.5" customHeight="1">
      <c r="A52" s="1147"/>
      <c r="B52" s="1147"/>
      <c r="C52" s="497" t="s">
        <v>2671</v>
      </c>
      <c r="D52" s="501"/>
      <c r="E52" s="499">
        <f>IF(E47&lt;G47,G47/E47-1,E47/G47-1)</f>
        <v>0.23328785811732611</v>
      </c>
      <c r="F52" s="500" t="str">
        <f>IF(OR(E52&gt;=0.2,E52&lt;=-0.2),"超过20%","")</f>
        <v>超过20%</v>
      </c>
      <c r="G52" s="499">
        <f>IF(G47&lt;I47,I47/G47-1,G47/I47-1)</f>
        <v>6.8212824010914108E-2</v>
      </c>
      <c r="H52" s="500" t="str">
        <f>IF(OR(G52&gt;=0.2,G52&lt;=-0.2),"超过20%","")</f>
        <v/>
      </c>
      <c r="I52" s="499">
        <f>IF(I47&lt;E47,E47/I47-1,I47/E47-1)</f>
        <v>0.1545338441890165</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48" t="s">
        <v>2762</v>
      </c>
      <c r="H55" s="3295"/>
      <c r="I55" s="144" t="s">
        <v>2763</v>
      </c>
      <c r="J55" s="2712">
        <f>项目基本情况!F35</f>
        <v>0</v>
      </c>
      <c r="K55" s="2713" t="s">
        <v>2764</v>
      </c>
      <c r="L55" s="1109"/>
      <c r="M55" s="1147"/>
      <c r="N55" s="1147"/>
      <c r="O55" s="1147"/>
    </row>
    <row r="56" spans="1:15" s="692" customFormat="1">
      <c r="A56" s="688" t="s">
        <v>2765</v>
      </c>
      <c r="B56" s="689">
        <f>C48</f>
        <v>1613</v>
      </c>
      <c r="C56" s="690">
        <v>1</v>
      </c>
      <c r="D56" s="1166">
        <v>1</v>
      </c>
      <c r="E56" s="690">
        <f>'数据-汇总表'!E8+'数据-汇总表'!E9</f>
        <v>20447.539999999961</v>
      </c>
      <c r="F56" s="1106">
        <f t="shared" ref="F56:F65" si="15">ROUND(B56*E56/10000,0)</f>
        <v>3298</v>
      </c>
      <c r="G56" s="3247"/>
      <c r="H56" s="3265"/>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296"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296"/>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296"/>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296"/>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40347.69</v>
      </c>
      <c r="F66" s="697">
        <f>IF(B46="楼面地价",SUM(F56:F65),ROUND(C48*E66/10000,0))</f>
        <v>6508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2781</v>
      </c>
      <c r="B71" s="332" t="str">
        <f>"北京市平均增长率"&amp;TEXT(SUMIF(基准地价修正!N21:N25,A71,基准地价修正!P21:P25),"0.00%")</f>
        <v>北京市平均增长率0.00%</v>
      </c>
      <c r="C71" s="603">
        <v>100</v>
      </c>
      <c r="D71" s="595">
        <v>100</v>
      </c>
      <c r="E71" s="595">
        <v>100</v>
      </c>
      <c r="F71" s="595">
        <v>100</v>
      </c>
      <c r="G71" s="595">
        <v>100</v>
      </c>
      <c r="H71" s="595">
        <v>100</v>
      </c>
      <c r="I71" s="595">
        <v>100</v>
      </c>
      <c r="J71" s="595">
        <v>100</v>
      </c>
      <c r="K71" s="595">
        <v>100</v>
      </c>
      <c r="L71" s="595">
        <v>100</v>
      </c>
      <c r="M71" s="1570">
        <v>100</v>
      </c>
      <c r="N71" s="595">
        <v>100</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4" t="s">
        <v>3353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106</v>
      </c>
      <c r="E81" s="544">
        <f t="shared" si="21"/>
        <v>112</v>
      </c>
      <c r="F81" s="544">
        <f t="shared" si="21"/>
        <v>118</v>
      </c>
      <c r="G81" s="544">
        <f t="shared" si="21"/>
        <v>124</v>
      </c>
      <c r="H81" s="544">
        <f t="shared" si="21"/>
        <v>130</v>
      </c>
      <c r="I81" s="544">
        <f t="shared" si="21"/>
        <v>136</v>
      </c>
      <c r="J81" s="544">
        <f t="shared" si="21"/>
        <v>142</v>
      </c>
      <c r="K81" s="544">
        <f t="shared" si="21"/>
        <v>148</v>
      </c>
      <c r="L81" s="544">
        <f t="shared" si="21"/>
        <v>154</v>
      </c>
      <c r="M81" s="544">
        <f t="shared" si="21"/>
        <v>160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65" t="s">
        <v>3356</v>
      </c>
      <c r="D106" s="2965" t="s">
        <v>3357</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80000(含)-120000</v>
      </c>
      <c r="H116" s="529" t="str">
        <f t="shared" si="25"/>
        <v>120000(含)-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80000</v>
      </c>
      <c r="H117" s="595">
        <v>120000</v>
      </c>
      <c r="I117" s="595"/>
      <c r="J117" s="596"/>
      <c r="K117" s="596"/>
      <c r="L117" s="597"/>
      <c r="M117" s="598"/>
      <c r="N117" s="1155"/>
      <c r="O117" s="1155"/>
      <c r="P117" s="45"/>
      <c r="Q117" s="504"/>
    </row>
    <row r="118" spans="1:17" ht="15.75" thickBot="1">
      <c r="A118" s="534"/>
      <c r="B118" s="543"/>
      <c r="C118" s="570">
        <v>92</v>
      </c>
      <c r="D118" s="591">
        <v>94</v>
      </c>
      <c r="E118" s="591">
        <v>96</v>
      </c>
      <c r="F118" s="591">
        <v>98</v>
      </c>
      <c r="G118" s="591">
        <v>100</v>
      </c>
      <c r="H118" s="591"/>
      <c r="I118" s="591"/>
      <c r="J118" s="591"/>
      <c r="K118" s="591"/>
      <c r="L118" s="591"/>
      <c r="M118" s="592"/>
      <c r="N118" s="1156"/>
      <c r="O118" s="1156"/>
      <c r="P118" s="45"/>
      <c r="Q118" s="504"/>
    </row>
    <row r="119" spans="1:17" ht="15" thickTop="1">
      <c r="A119" s="599"/>
      <c r="B119" s="538" t="s">
        <v>2790</v>
      </c>
      <c r="C119" s="2967" t="s">
        <v>3366</v>
      </c>
      <c r="D119" s="2967" t="s">
        <v>3367</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2965" t="s">
        <v>3358</v>
      </c>
      <c r="D123" s="2965" t="s">
        <v>3360</v>
      </c>
      <c r="E123" s="2965" t="s">
        <v>3361</v>
      </c>
      <c r="F123" s="2965" t="s">
        <v>3359</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48" t="s">
        <v>2645</v>
      </c>
      <c r="D4" s="3249"/>
      <c r="E4" s="3250" t="s">
        <v>2646</v>
      </c>
      <c r="F4" s="3251"/>
      <c r="G4" s="3248" t="s">
        <v>2647</v>
      </c>
      <c r="H4" s="3249"/>
      <c r="I4" s="3248" t="s">
        <v>2648</v>
      </c>
      <c r="J4" s="3249"/>
      <c r="K4" s="610" t="s">
        <v>2649</v>
      </c>
      <c r="L4" s="1133"/>
      <c r="M4" s="1134"/>
      <c r="N4" s="1134"/>
      <c r="O4" s="1134"/>
      <c r="P4" s="3252" t="s">
        <v>2650</v>
      </c>
      <c r="Q4" s="3253"/>
      <c r="R4" s="3235" t="s">
        <v>2646</v>
      </c>
      <c r="S4" s="3236"/>
      <c r="T4" s="3235" t="s">
        <v>2647</v>
      </c>
      <c r="U4" s="3236"/>
      <c r="V4" s="3260" t="s">
        <v>2648</v>
      </c>
      <c r="W4" s="3260"/>
      <c r="X4" s="1816"/>
      <c r="Y4" s="3235" t="s">
        <v>2650</v>
      </c>
      <c r="Z4" s="3236"/>
      <c r="AA4" s="3230" t="s">
        <v>2646</v>
      </c>
      <c r="AB4" s="3231" t="s">
        <v>2647</v>
      </c>
      <c r="AC4" s="3230" t="s">
        <v>2648</v>
      </c>
    </row>
    <row r="5" spans="1:29" ht="15">
      <c r="A5" s="404"/>
      <c r="B5" s="405"/>
      <c r="C5" s="3241" t="s">
        <v>2541</v>
      </c>
      <c r="D5" s="3242"/>
      <c r="E5" s="3239" t="s">
        <v>2542</v>
      </c>
      <c r="F5" s="3240"/>
      <c r="G5" s="3241" t="s">
        <v>2543</v>
      </c>
      <c r="H5" s="3242"/>
      <c r="I5" s="3241" t="s">
        <v>2544</v>
      </c>
      <c r="J5" s="3242"/>
      <c r="K5" s="610"/>
      <c r="L5" s="1133"/>
      <c r="M5" s="1134"/>
      <c r="N5" s="1134"/>
      <c r="O5" s="1134"/>
      <c r="P5" s="3254"/>
      <c r="Q5" s="3255"/>
      <c r="R5" s="3237"/>
      <c r="S5" s="3238"/>
      <c r="T5" s="3237"/>
      <c r="U5" s="3238"/>
      <c r="V5" s="3260"/>
      <c r="W5" s="3260"/>
      <c r="X5" s="1816"/>
      <c r="Y5" s="3237"/>
      <c r="Z5" s="3238"/>
      <c r="AA5" s="3231"/>
      <c r="AB5" s="3231"/>
      <c r="AC5" s="3231"/>
    </row>
    <row r="6" spans="1:29" ht="15.75" thickBot="1">
      <c r="A6" s="406"/>
      <c r="B6" s="407"/>
      <c r="C6" s="3297" t="s">
        <v>2795</v>
      </c>
      <c r="D6" s="3298"/>
      <c r="E6" s="3299" t="s">
        <v>2795</v>
      </c>
      <c r="F6" s="3300"/>
      <c r="G6" s="3297" t="s">
        <v>2795</v>
      </c>
      <c r="H6" s="3298"/>
      <c r="I6" s="3297" t="s">
        <v>2795</v>
      </c>
      <c r="J6" s="3298"/>
      <c r="K6" s="610" t="s">
        <v>2546</v>
      </c>
      <c r="L6" s="1133"/>
      <c r="M6" s="1134"/>
      <c r="N6" s="1134"/>
      <c r="O6" s="1134"/>
      <c r="P6" s="3256"/>
      <c r="Q6" s="3257"/>
      <c r="R6" s="3237"/>
      <c r="S6" s="3238"/>
      <c r="T6" s="3258"/>
      <c r="U6" s="3259"/>
      <c r="V6" s="3260"/>
      <c r="W6" s="3260"/>
      <c r="X6" s="1816"/>
      <c r="Y6" s="3258"/>
      <c r="Z6" s="3259"/>
      <c r="AA6" s="3232"/>
      <c r="AB6" s="3232"/>
      <c r="AC6" s="3232"/>
    </row>
    <row r="7" spans="1:29" s="117" customFormat="1" ht="15.75" thickBot="1">
      <c r="A7" s="408" t="s">
        <v>2547</v>
      </c>
      <c r="B7" s="409"/>
      <c r="C7" s="410">
        <f>'数据-取费表'!B2</f>
        <v>43598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33" t="s">
        <v>2548</v>
      </c>
      <c r="Q7" s="3261"/>
      <c r="R7" s="770" t="s">
        <v>17</v>
      </c>
      <c r="S7" s="771">
        <f t="shared" ref="S7:S15" si="0">F7</f>
        <v>0</v>
      </c>
      <c r="T7" s="770" t="s">
        <v>17</v>
      </c>
      <c r="U7" s="771">
        <f t="shared" ref="U7:U15" si="1">H7</f>
        <v>0</v>
      </c>
      <c r="V7" s="770" t="s">
        <v>17</v>
      </c>
      <c r="W7" s="771">
        <f t="shared" ref="W7:W15" si="2">J7</f>
        <v>0</v>
      </c>
      <c r="X7" s="772"/>
      <c r="Y7" s="3233" t="s">
        <v>2548</v>
      </c>
      <c r="Z7" s="3234"/>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3" t="s">
        <v>2551</v>
      </c>
      <c r="Q8" s="3234"/>
      <c r="R8" s="770" t="s">
        <v>17</v>
      </c>
      <c r="S8" s="771">
        <f t="shared" si="0"/>
        <v>0</v>
      </c>
      <c r="T8" s="770" t="s">
        <v>17</v>
      </c>
      <c r="U8" s="771">
        <f t="shared" si="1"/>
        <v>0</v>
      </c>
      <c r="V8" s="770" t="s">
        <v>17</v>
      </c>
      <c r="W8" s="771">
        <f t="shared" si="2"/>
        <v>0</v>
      </c>
      <c r="X8" s="772"/>
      <c r="Y8" s="3233" t="s">
        <v>2551</v>
      </c>
      <c r="Z8" s="3234"/>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65" t="s">
        <v>2554</v>
      </c>
      <c r="Q9" s="1798"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65"/>
      <c r="Q10" s="1798" t="str">
        <f t="shared" si="6"/>
        <v>土地使用年限（年）</v>
      </c>
      <c r="R10" s="770" t="s">
        <v>17</v>
      </c>
      <c r="S10" s="771">
        <f t="shared" si="0"/>
        <v>105</v>
      </c>
      <c r="T10" s="770" t="s">
        <v>17</v>
      </c>
      <c r="U10" s="771">
        <f t="shared" si="1"/>
        <v>105</v>
      </c>
      <c r="V10" s="770" t="s">
        <v>17</v>
      </c>
      <c r="W10" s="771">
        <f t="shared" si="2"/>
        <v>105</v>
      </c>
      <c r="X10" s="772"/>
      <c r="Y10" s="3069"/>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5"/>
      <c r="Q11" s="1798"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5"/>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5"/>
      <c r="Q14" s="1798">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57">
      <c r="A15" s="440" t="s">
        <v>2558</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7" t="s">
        <v>2559</v>
      </c>
      <c r="Q15" s="1813" t="str">
        <f t="shared" si="6"/>
        <v>产业集聚程度</v>
      </c>
      <c r="R15" s="774" t="s">
        <v>17</v>
      </c>
      <c r="S15" s="775">
        <f t="shared" si="0"/>
        <v>100</v>
      </c>
      <c r="T15" s="774" t="s">
        <v>17</v>
      </c>
      <c r="U15" s="775">
        <f t="shared" si="1"/>
        <v>100</v>
      </c>
      <c r="V15" s="774" t="s">
        <v>17</v>
      </c>
      <c r="W15" s="775">
        <f t="shared" si="2"/>
        <v>100</v>
      </c>
      <c r="X15" s="1816"/>
      <c r="Y15" s="3267"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68"/>
      <c r="Q16" s="1813"/>
      <c r="R16" s="774"/>
      <c r="S16" s="775"/>
      <c r="T16" s="774"/>
      <c r="U16" s="775"/>
      <c r="V16" s="774"/>
      <c r="W16" s="775"/>
      <c r="X16" s="1816"/>
      <c r="Y16" s="3268"/>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8"/>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68"/>
      <c r="Q18" s="1813"/>
      <c r="R18" s="774"/>
      <c r="S18" s="775"/>
      <c r="T18" s="774"/>
      <c r="U18" s="775"/>
      <c r="V18" s="774"/>
      <c r="W18" s="775"/>
      <c r="X18" s="1816"/>
      <c r="Y18" s="3268"/>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8"/>
      <c r="Q19" s="1813" t="str">
        <f t="shared" ref="Q19:Q33" si="8">B19</f>
        <v>区域土地利用方向</v>
      </c>
      <c r="R19" s="774" t="s">
        <v>17</v>
      </c>
      <c r="S19" s="775">
        <f>F19</f>
        <v>100</v>
      </c>
      <c r="T19" s="774" t="s">
        <v>17</v>
      </c>
      <c r="U19" s="775">
        <f>H19</f>
        <v>100</v>
      </c>
      <c r="V19" s="774" t="s">
        <v>17</v>
      </c>
      <c r="W19" s="775">
        <f>J19</f>
        <v>100</v>
      </c>
      <c r="X19" s="1816"/>
      <c r="Y19" s="3268"/>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68"/>
      <c r="Q20" s="1813"/>
      <c r="R20" s="774"/>
      <c r="S20" s="775"/>
      <c r="T20" s="774"/>
      <c r="U20" s="775"/>
      <c r="V20" s="774"/>
      <c r="W20" s="775"/>
      <c r="X20" s="1816"/>
      <c r="Y20" s="3268"/>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8"/>
      <c r="Q21" s="1813" t="str">
        <f t="shared" si="8"/>
        <v>环境状况</v>
      </c>
      <c r="R21" s="774" t="s">
        <v>17</v>
      </c>
      <c r="S21" s="775">
        <f>F21</f>
        <v>100</v>
      </c>
      <c r="T21" s="774" t="s">
        <v>17</v>
      </c>
      <c r="U21" s="775">
        <f>H21</f>
        <v>100</v>
      </c>
      <c r="V21" s="774" t="s">
        <v>17</v>
      </c>
      <c r="W21" s="775">
        <f>J21</f>
        <v>100</v>
      </c>
      <c r="X21" s="1816"/>
      <c r="Y21" s="3268"/>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68"/>
      <c r="Q22" s="1813"/>
      <c r="R22" s="774"/>
      <c r="S22" s="775"/>
      <c r="T22" s="774"/>
      <c r="U22" s="775"/>
      <c r="V22" s="774"/>
      <c r="W22" s="775"/>
      <c r="X22" s="1816"/>
      <c r="Y22" s="3268"/>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8"/>
      <c r="Q23" s="1798" t="str">
        <f t="shared" si="8"/>
        <v>公共配套设施</v>
      </c>
      <c r="R23" s="770" t="s">
        <v>17</v>
      </c>
      <c r="S23" s="771">
        <f>F23</f>
        <v>100</v>
      </c>
      <c r="T23" s="770" t="s">
        <v>17</v>
      </c>
      <c r="U23" s="771">
        <f>H23</f>
        <v>100</v>
      </c>
      <c r="V23" s="770" t="s">
        <v>17</v>
      </c>
      <c r="W23" s="771">
        <f>J23</f>
        <v>100</v>
      </c>
      <c r="X23" s="772"/>
      <c r="Y23" s="3268"/>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68"/>
      <c r="Q24" s="1798"/>
      <c r="R24" s="770"/>
      <c r="S24" s="771"/>
      <c r="T24" s="770"/>
      <c r="U24" s="771"/>
      <c r="V24" s="770"/>
      <c r="W24" s="771"/>
      <c r="X24" s="772"/>
      <c r="Y24" s="3268"/>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8"/>
      <c r="Q25" s="1798" t="str">
        <f t="shared" ref="Q25" si="9">B25</f>
        <v>基础设施水平</v>
      </c>
      <c r="R25" s="770" t="s">
        <v>17</v>
      </c>
      <c r="S25" s="771">
        <f>F25</f>
        <v>100</v>
      </c>
      <c r="T25" s="770" t="s">
        <v>17</v>
      </c>
      <c r="U25" s="771">
        <f>H25</f>
        <v>100</v>
      </c>
      <c r="V25" s="770" t="s">
        <v>17</v>
      </c>
      <c r="W25" s="771">
        <f>J25</f>
        <v>100</v>
      </c>
      <c r="X25" s="772"/>
      <c r="Y25" s="3268"/>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68"/>
      <c r="Q26" s="1798"/>
      <c r="R26" s="770"/>
      <c r="S26" s="771"/>
      <c r="T26" s="770"/>
      <c r="U26" s="771"/>
      <c r="V26" s="770"/>
      <c r="W26" s="771"/>
      <c r="X26" s="772"/>
      <c r="Y26" s="326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8"/>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8"/>
      <c r="Q28" s="1813" t="str">
        <f t="shared" si="8"/>
        <v>毗邻道路的类型与等级</v>
      </c>
      <c r="R28" s="774" t="s">
        <v>17</v>
      </c>
      <c r="S28" s="775">
        <f t="shared" si="10"/>
        <v>100</v>
      </c>
      <c r="T28" s="774" t="s">
        <v>17</v>
      </c>
      <c r="U28" s="775">
        <f t="shared" si="11"/>
        <v>100</v>
      </c>
      <c r="V28" s="774" t="s">
        <v>17</v>
      </c>
      <c r="W28" s="775">
        <f t="shared" si="12"/>
        <v>100</v>
      </c>
      <c r="X28" s="1816"/>
      <c r="Y28" s="3268"/>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68"/>
      <c r="Q29" s="1813"/>
      <c r="R29" s="774"/>
      <c r="S29" s="775"/>
      <c r="T29" s="774"/>
      <c r="U29" s="775"/>
      <c r="V29" s="774"/>
      <c r="W29" s="775"/>
      <c r="X29" s="1816"/>
      <c r="Y29" s="3268"/>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8"/>
      <c r="Q30" s="1813" t="str">
        <f t="shared" si="8"/>
        <v>土地级别</v>
      </c>
      <c r="R30" s="774" t="s">
        <v>17</v>
      </c>
      <c r="S30" s="775">
        <f t="shared" si="10"/>
        <v>100</v>
      </c>
      <c r="T30" s="774" t="s">
        <v>17</v>
      </c>
      <c r="U30" s="775">
        <f t="shared" si="11"/>
        <v>100</v>
      </c>
      <c r="V30" s="774" t="s">
        <v>17</v>
      </c>
      <c r="W30" s="775">
        <f t="shared" si="12"/>
        <v>100</v>
      </c>
      <c r="X30" s="1816"/>
      <c r="Y30" s="3268"/>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8"/>
      <c r="Q31" s="1813">
        <f t="shared" si="8"/>
        <v>111</v>
      </c>
      <c r="R31" s="774" t="s">
        <v>17</v>
      </c>
      <c r="S31" s="775">
        <f t="shared" si="10"/>
        <v>100</v>
      </c>
      <c r="T31" s="774" t="s">
        <v>17</v>
      </c>
      <c r="U31" s="775">
        <f t="shared" si="11"/>
        <v>100</v>
      </c>
      <c r="V31" s="774" t="s">
        <v>17</v>
      </c>
      <c r="W31" s="775">
        <f t="shared" si="12"/>
        <v>100</v>
      </c>
      <c r="X31" s="1816"/>
      <c r="Y31" s="3268"/>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91" t="s">
        <v>2564</v>
      </c>
      <c r="Q32" s="1813">
        <f t="shared" si="8"/>
        <v>111</v>
      </c>
      <c r="R32" s="774" t="s">
        <v>17</v>
      </c>
      <c r="S32" s="775">
        <f t="shared" si="10"/>
        <v>100</v>
      </c>
      <c r="T32" s="774" t="s">
        <v>17</v>
      </c>
      <c r="U32" s="775">
        <f t="shared" si="11"/>
        <v>100</v>
      </c>
      <c r="V32" s="774" t="s">
        <v>17</v>
      </c>
      <c r="W32" s="775">
        <f t="shared" si="12"/>
        <v>100</v>
      </c>
      <c r="X32" s="1816"/>
      <c r="Y32" s="3272"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2"/>
      <c r="Q33" s="1813">
        <f t="shared" si="8"/>
        <v>111</v>
      </c>
      <c r="R33" s="777" t="s">
        <v>17</v>
      </c>
      <c r="S33" s="778">
        <f t="shared" si="10"/>
        <v>100</v>
      </c>
      <c r="T33" s="777" t="s">
        <v>17</v>
      </c>
      <c r="U33" s="778">
        <f t="shared" si="11"/>
        <v>100</v>
      </c>
      <c r="V33" s="777" t="s">
        <v>17</v>
      </c>
      <c r="W33" s="778">
        <f t="shared" si="12"/>
        <v>100</v>
      </c>
      <c r="X33" s="779"/>
      <c r="Y33" s="3272"/>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2"/>
      <c r="Q34" s="1813" t="str">
        <f>B34</f>
        <v>宗地面积</v>
      </c>
      <c r="R34" s="774" t="s">
        <v>17</v>
      </c>
      <c r="S34" s="775" t="e">
        <f t="shared" si="10"/>
        <v>#N/A</v>
      </c>
      <c r="T34" s="774" t="s">
        <v>17</v>
      </c>
      <c r="U34" s="775" t="e">
        <f t="shared" si="11"/>
        <v>#N/A</v>
      </c>
      <c r="V34" s="774" t="s">
        <v>17</v>
      </c>
      <c r="W34" s="775" t="e">
        <f t="shared" si="12"/>
        <v>#N/A</v>
      </c>
      <c r="X34" s="1816"/>
      <c r="Y34" s="3272"/>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72"/>
      <c r="Q35" s="1813" t="str">
        <f t="shared" ref="Q35:Q40" si="14">B35</f>
        <v>宗地形状</v>
      </c>
      <c r="R35" s="774" t="s">
        <v>17</v>
      </c>
      <c r="S35" s="775">
        <f t="shared" si="10"/>
        <v>100</v>
      </c>
      <c r="T35" s="774" t="s">
        <v>17</v>
      </c>
      <c r="U35" s="775">
        <f t="shared" si="11"/>
        <v>100</v>
      </c>
      <c r="V35" s="774" t="s">
        <v>17</v>
      </c>
      <c r="W35" s="775">
        <f t="shared" si="12"/>
        <v>100</v>
      </c>
      <c r="X35" s="1816"/>
      <c r="Y35" s="3272"/>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72"/>
      <c r="Q36" s="1813" t="str">
        <f t="shared" si="14"/>
        <v>宗地开发程度</v>
      </c>
      <c r="R36" s="770" t="s">
        <v>17</v>
      </c>
      <c r="S36" s="771">
        <f t="shared" si="10"/>
        <v>100</v>
      </c>
      <c r="T36" s="770" t="s">
        <v>17</v>
      </c>
      <c r="U36" s="771">
        <f t="shared" si="11"/>
        <v>100</v>
      </c>
      <c r="V36" s="770" t="s">
        <v>17</v>
      </c>
      <c r="W36" s="771">
        <f t="shared" si="12"/>
        <v>100</v>
      </c>
      <c r="X36" s="772"/>
      <c r="Y36" s="3272"/>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72" t="s">
        <v>2564</v>
      </c>
      <c r="Q37" s="1813" t="str">
        <f t="shared" si="14"/>
        <v>工程地质条件</v>
      </c>
      <c r="R37" s="774" t="s">
        <v>17</v>
      </c>
      <c r="S37" s="775">
        <f t="shared" si="10"/>
        <v>100</v>
      </c>
      <c r="T37" s="774" t="s">
        <v>17</v>
      </c>
      <c r="U37" s="775">
        <f t="shared" si="11"/>
        <v>100</v>
      </c>
      <c r="V37" s="774" t="s">
        <v>17</v>
      </c>
      <c r="W37" s="775">
        <f t="shared" si="12"/>
        <v>100</v>
      </c>
      <c r="X37" s="1816"/>
      <c r="Y37" s="3272"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2"/>
      <c r="Q38" s="1813">
        <f t="shared" si="14"/>
        <v>111</v>
      </c>
      <c r="R38" s="774" t="s">
        <v>17</v>
      </c>
      <c r="S38" s="775">
        <f t="shared" si="10"/>
        <v>100</v>
      </c>
      <c r="T38" s="774" t="s">
        <v>17</v>
      </c>
      <c r="U38" s="775">
        <f t="shared" si="11"/>
        <v>100</v>
      </c>
      <c r="V38" s="774" t="s">
        <v>17</v>
      </c>
      <c r="W38" s="775">
        <f t="shared" si="12"/>
        <v>100</v>
      </c>
      <c r="X38" s="1816"/>
      <c r="Y38" s="327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2"/>
      <c r="Q39" s="1813">
        <f t="shared" si="14"/>
        <v>111</v>
      </c>
      <c r="R39" s="774" t="s">
        <v>17</v>
      </c>
      <c r="S39" s="775">
        <f t="shared" si="10"/>
        <v>100</v>
      </c>
      <c r="T39" s="774" t="s">
        <v>17</v>
      </c>
      <c r="U39" s="775">
        <f t="shared" si="11"/>
        <v>100</v>
      </c>
      <c r="V39" s="774" t="s">
        <v>17</v>
      </c>
      <c r="W39" s="775">
        <f t="shared" si="12"/>
        <v>100</v>
      </c>
      <c r="X39" s="1816"/>
      <c r="Y39" s="3272"/>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2"/>
      <c r="Q40" s="1813">
        <f t="shared" si="14"/>
        <v>111</v>
      </c>
      <c r="R40" s="777" t="s">
        <v>17</v>
      </c>
      <c r="S40" s="778">
        <f t="shared" si="10"/>
        <v>100</v>
      </c>
      <c r="T40" s="777" t="s">
        <v>17</v>
      </c>
      <c r="U40" s="778">
        <f t="shared" si="11"/>
        <v>100</v>
      </c>
      <c r="V40" s="777" t="s">
        <v>17</v>
      </c>
      <c r="W40" s="778">
        <f t="shared" si="12"/>
        <v>100</v>
      </c>
      <c r="X40" s="779"/>
      <c r="Y40" s="3272"/>
      <c r="Z40" s="780">
        <f t="shared" si="13"/>
        <v>111</v>
      </c>
      <c r="AA40" s="1814">
        <f t="shared" si="3"/>
        <v>1</v>
      </c>
      <c r="AB40" s="1814">
        <f t="shared" si="4"/>
        <v>1</v>
      </c>
      <c r="AC40" s="1814">
        <f t="shared" si="5"/>
        <v>1</v>
      </c>
    </row>
    <row r="41" spans="1:29" ht="15">
      <c r="A41" s="479" t="s">
        <v>2719</v>
      </c>
      <c r="B41" s="2709" t="s">
        <v>2798</v>
      </c>
      <c r="C41" s="682" t="s">
        <v>1</v>
      </c>
      <c r="D41" s="481"/>
      <c r="E41" s="482"/>
      <c r="F41" s="483"/>
      <c r="G41" s="484"/>
      <c r="H41" s="485"/>
      <c r="I41" s="482"/>
      <c r="J41" s="485"/>
      <c r="K41" s="783"/>
      <c r="L41" s="1146"/>
      <c r="M41" s="1134"/>
      <c r="N41" s="1134"/>
      <c r="O41" s="1147"/>
      <c r="P41" s="3265" t="str">
        <f>A41</f>
        <v>成交单价</v>
      </c>
      <c r="Q41" s="3265"/>
      <c r="R41" s="3260">
        <f>E41</f>
        <v>0</v>
      </c>
      <c r="S41" s="3260"/>
      <c r="T41" s="3260">
        <f>G41</f>
        <v>0</v>
      </c>
      <c r="U41" s="3260"/>
      <c r="V41" s="3260">
        <f>I41</f>
        <v>0</v>
      </c>
      <c r="W41" s="326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65" t="str">
        <f>A42</f>
        <v>比较价值（元/平方米）</v>
      </c>
      <c r="Q42" s="3265"/>
      <c r="R42" s="3293" t="e">
        <f>ROUND(PRODUCT(R41,AA7:AA40),0)</f>
        <v>#DIV/0!</v>
      </c>
      <c r="S42" s="3293"/>
      <c r="T42" s="3293" t="e">
        <f>ROUND(PRODUCT(T41,AB7:AB40),0)</f>
        <v>#DIV/0!</v>
      </c>
      <c r="U42" s="3293"/>
      <c r="V42" s="3293" t="e">
        <f>ROUND(PRODUCT(V41,AC7:AC40),0)</f>
        <v>#DIV/0!</v>
      </c>
      <c r="W42" s="3293"/>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62" t="str">
        <f>A43</f>
        <v>估价对象XX用房的比较价值（楼面单价，元/平方米）</v>
      </c>
      <c r="Q43" s="3263"/>
      <c r="R43" s="3294" t="e">
        <f>ROUND(AVERAGE(R42:V42),0)</f>
        <v>#DIV/0!</v>
      </c>
      <c r="S43" s="3294"/>
      <c r="T43" s="3294"/>
      <c r="U43" s="3294"/>
      <c r="V43" s="3294"/>
      <c r="W43" s="329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248" t="s">
        <v>2762</v>
      </c>
      <c r="H50" s="3295"/>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20447.539999999961</v>
      </c>
      <c r="F51" s="691" t="e">
        <f t="shared" ref="F51:F60" si="15">ROUND(B51*E51/10000,0)</f>
        <v>#DIV/0!</v>
      </c>
      <c r="G51" s="3247"/>
      <c r="H51" s="3265"/>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96"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96"/>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96"/>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96"/>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40347.69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0</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6" t="s">
        <v>2811</v>
      </c>
      <c r="D2" s="2727" t="s">
        <v>2812</v>
      </c>
      <c r="E2" s="2728"/>
      <c r="F2" s="2727" t="s">
        <v>2813</v>
      </c>
      <c r="G2" s="2729">
        <f>IF(E2="商业",项目基本情况!B37,IF(E2="办公",项目基本情况!C37,IF(E2="住宅",项目基本情况!D37,项目基本情况!E37)))</f>
        <v>0</v>
      </c>
      <c r="H2" s="2727" t="s">
        <v>2814</v>
      </c>
      <c r="I2" s="2729">
        <f>IF(E2="商业",项目基本情况!B38,IF(E2="办公",项目基本情况!C38,IF(E2="住宅",项目基本情况!D38,项目基本情况!E38)))</f>
        <v>0</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6" t="s">
        <v>2817</v>
      </c>
      <c r="D3" s="2727" t="s">
        <v>2818</v>
      </c>
      <c r="E3" s="2732"/>
      <c r="F3" s="2733" t="s">
        <v>2819</v>
      </c>
      <c r="G3" s="916">
        <f>IF(F3="宗地容积率",'数据-汇总表'!I4,IF(F3="估价对象容积率",'数据-汇总表'!I6,'数据-汇总表'!I7))</f>
        <v>0.51</v>
      </c>
      <c r="H3" s="198" t="s">
        <v>2820</v>
      </c>
      <c r="I3" s="947"/>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15"/>
      <c r="B4" s="3316"/>
      <c r="C4" s="3316"/>
      <c r="D4" s="3317"/>
      <c r="E4" s="3317"/>
      <c r="F4" s="3317"/>
      <c r="G4" s="3317"/>
      <c r="H4" s="3317"/>
      <c r="I4" s="3317"/>
      <c r="J4" s="3318"/>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2824</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01" t="str">
        <f>IF(E2="商业",IF(C8="不临58条商业街","",2),"")</f>
        <v/>
      </c>
      <c r="B7" s="2750" t="s">
        <v>2830</v>
      </c>
      <c r="C7" s="919" t="e">
        <f>IF(C8="不临58条商业街",1,ROUND(1+(1.6*E8+1.2*E9+0.8*E10+0.4*E11)*C9,4))</f>
        <v>#DIV/0!</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0.51</v>
      </c>
      <c r="AA7" s="1609"/>
      <c r="AB7" s="1609"/>
      <c r="AC7" s="1610"/>
      <c r="AD7" s="1611"/>
      <c r="AE7" s="1611"/>
      <c r="AF7" s="1611"/>
      <c r="AG7" s="1611"/>
      <c r="AH7" s="1611"/>
      <c r="AI7" s="1611"/>
      <c r="AJ7" s="1612"/>
    </row>
    <row r="8" spans="1:36" ht="15">
      <c r="A8" s="3302"/>
      <c r="B8" s="198" t="s">
        <v>2835</v>
      </c>
      <c r="C8" s="2755"/>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12" t="s">
        <v>2838</v>
      </c>
      <c r="X8" s="3313"/>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302"/>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14"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02"/>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1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02"/>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14" t="s">
        <v>2862</v>
      </c>
      <c r="X11" s="1617" t="s">
        <v>2863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301"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14"/>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19"/>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t="e">
        <f t="shared" si="0"/>
        <v>#DIV/0!</v>
      </c>
      <c r="U13" s="1606"/>
      <c r="V13" s="1605" t="e">
        <f t="shared" si="1"/>
        <v>#DIV/0!</v>
      </c>
      <c r="W13" s="3314"/>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319"/>
      <c r="B14" s="2773"/>
      <c r="C14" s="2774"/>
      <c r="D14" s="2775"/>
      <c r="E14" s="2775"/>
      <c r="F14" s="2776"/>
      <c r="G14" s="2777" t="s">
        <v>2875</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20"/>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01" t="s">
        <v>2881</v>
      </c>
      <c r="B16" s="2750" t="s">
        <v>2882</v>
      </c>
      <c r="C16" s="1804" t="e">
        <f>ROUND(SUM(G17:J17)/C17,0)</f>
        <v>#DIV/0!</v>
      </c>
      <c r="D16" s="2784" t="s">
        <v>2883</v>
      </c>
      <c r="E16" s="2785"/>
      <c r="F16" s="2786"/>
      <c r="G16" s="2787"/>
      <c r="H16" s="2787"/>
      <c r="I16" s="2787"/>
      <c r="J16" s="2788"/>
      <c r="K16" s="1373"/>
      <c r="L16" s="2789"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02"/>
      <c r="B17" s="2790" t="s">
        <v>2885</v>
      </c>
      <c r="C17" s="924">
        <f>SUMPRODUCT((修正!A2:A5=E2)*(修正!B1:M1=G2)*(修正!B2:M5))</f>
        <v>0</v>
      </c>
      <c r="D17" s="2791"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2889</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2890</v>
      </c>
      <c r="C19" s="927" t="e">
        <f>ROUND(IF(H19="按公示增长率计算",SUMPRODUCT((地价!A3:A25=YEAR(G19)&amp;"-"&amp;ROUNDUP(MONTH(G19)/3,0))*(地价!X2:AB2=E2)*(地价!X3:AB25)),IF(H19="地价指数",M20/M19,(1+I19)^O19)),4)</f>
        <v>#DIV/0!</v>
      </c>
      <c r="D19" s="2802" t="s">
        <v>2891</v>
      </c>
      <c r="E19" s="928">
        <v>41640</v>
      </c>
      <c r="F19" s="2802" t="s">
        <v>2892</v>
      </c>
      <c r="G19" s="929">
        <f>'数据-取费表'!B2</f>
        <v>43598</v>
      </c>
      <c r="H19" s="2803" t="s">
        <v>2893</v>
      </c>
      <c r="I19" s="930" t="str">
        <f>IF(H19="季度增幅（自定义）",SUMIF(N21:N24,E2,O21:O24),"")</f>
        <v/>
      </c>
      <c r="J19" s="2800"/>
      <c r="K19" s="1380"/>
      <c r="L19" s="2804" t="s">
        <v>2894</v>
      </c>
      <c r="M19" s="1737">
        <f>ROUND(SUMIF(地价!B2:F2,E2,地价!B25:F25),0)</f>
        <v>0</v>
      </c>
      <c r="N19" s="2805"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t="e">
        <f>ROUND(POWER(1+G20,J20-I20)*(POWER(1+G20,I20)-1)/(POWER(1+G20,J20)-1),4)</f>
        <v>#DIV/0!</v>
      </c>
      <c r="D20" s="2811" t="s">
        <v>2897</v>
      </c>
      <c r="E20" s="1771">
        <f ca="1">存贷款利率!D4/100</f>
        <v>4.3499999999999997E-2</v>
      </c>
      <c r="F20" s="2811" t="s">
        <v>2888</v>
      </c>
      <c r="G20" s="937">
        <f>SUMIF(M15:P15,E2,M17:P17)</f>
        <v>0</v>
      </c>
      <c r="H20" s="2811" t="s">
        <v>2898</v>
      </c>
      <c r="I20" s="938" t="e">
        <f>SUMIF('数据-取费表'!C6:C15,E2,'数据-取费表'!F6:F15)/COUNTIF('数据-取费表'!C6:C15,E2)</f>
        <v>#DIV/0!</v>
      </c>
      <c r="J20" s="939">
        <f>IF(E2="住宅",70,IF(E2="商业",40,50))</f>
        <v>50</v>
      </c>
      <c r="K20" s="1380"/>
      <c r="L20" s="2812" t="s">
        <v>2899</v>
      </c>
      <c r="M20" s="1738">
        <f>ROUND(SUMPRODUCT((地价!A4:A25=YEAR(G19)&amp;"-"&amp;ROUNDUP(MONTH(G19)/3,0))*(地价!B2:F2=E2)*(地价!B4:F25)),0)</f>
        <v>0</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2903</v>
      </c>
      <c r="C21" s="940">
        <f>IF(B21="容积率修正",IF(G3&lt;=10,D22,J22),C23)</f>
        <v>0</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0</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ROUND(C5*C18*C19*C20*C21*C24,0)</f>
        <v>#DIV/0!</v>
      </c>
      <c r="D29" s="2850"/>
      <c r="E29" s="945" t="e">
        <f>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ROUND(IF(E2="工业",C29*M39,C29*M38),0)</f>
        <v>#DIV/0!</v>
      </c>
      <c r="D30" s="2856"/>
      <c r="E30" s="945" t="e">
        <f>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09" t="s">
        <v>2930</v>
      </c>
      <c r="B33" s="2866" t="s">
        <v>2931</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0"/>
      <c r="B34" s="2770" t="s">
        <v>2932</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0"/>
      <c r="B35" s="2770" t="s">
        <v>2933</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11"/>
      <c r="B36" s="2770" t="s">
        <v>2934</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2888</v>
      </c>
      <c r="E41" s="2942">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2596</v>
      </c>
      <c r="K80" s="603" t="s">
        <v>2597</v>
      </c>
      <c r="L80" s="603" t="s">
        <v>2598</v>
      </c>
      <c r="M80" s="603" t="s">
        <v>2599</v>
      </c>
      <c r="N80" s="603" t="s">
        <v>2600</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2952</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2966</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2958</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2959</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2956</v>
      </c>
      <c r="B87" s="2889" t="s">
        <v>2970</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03" t="s">
        <v>2972</v>
      </c>
      <c r="B90" s="3303"/>
      <c r="C90" s="3303"/>
      <c r="D90" s="3303"/>
      <c r="E90" s="3303"/>
      <c r="F90" s="3303"/>
      <c r="G90" s="3303"/>
      <c r="H90" s="3303"/>
      <c r="I90" s="3303"/>
      <c r="J90" s="3303"/>
      <c r="K90" s="2897"/>
      <c r="L90" s="2897"/>
      <c r="M90" s="2897"/>
      <c r="N90" s="2897"/>
    </row>
    <row r="91" spans="1:37">
      <c r="A91" s="3305" t="s">
        <v>2973</v>
      </c>
      <c r="B91" s="3305" t="s">
        <v>2974</v>
      </c>
      <c r="C91" s="2851" t="s">
        <v>2975</v>
      </c>
      <c r="D91" s="2852"/>
      <c r="E91" s="2852"/>
      <c r="F91" s="2852"/>
      <c r="G91" s="2852"/>
      <c r="H91" s="2852"/>
      <c r="I91" s="2852"/>
      <c r="J91" s="2898"/>
      <c r="K91" s="2899"/>
      <c r="L91" s="2899"/>
      <c r="M91" s="2899"/>
      <c r="N91" s="2899"/>
    </row>
    <row r="92" spans="1:37">
      <c r="A92" s="3305"/>
      <c r="B92" s="3305"/>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06"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0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0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0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0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0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07"/>
      <c r="B99" s="2900" t="s">
        <v>2855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08"/>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06" t="s">
        <v>2977</v>
      </c>
      <c r="B101" s="2904" t="s">
        <v>2978</v>
      </c>
      <c r="C101" s="2905">
        <f>$G$3</f>
        <v>0.51</v>
      </c>
      <c r="D101" s="2905">
        <f t="shared" ref="D101:N101" si="31">$G$3</f>
        <v>0.51</v>
      </c>
      <c r="E101" s="2905">
        <f t="shared" si="31"/>
        <v>0.51</v>
      </c>
      <c r="F101" s="2905">
        <f t="shared" si="31"/>
        <v>0.51</v>
      </c>
      <c r="G101" s="2905">
        <f t="shared" si="31"/>
        <v>0.51</v>
      </c>
      <c r="H101" s="2905">
        <f t="shared" si="31"/>
        <v>0.51</v>
      </c>
      <c r="I101" s="2905">
        <f t="shared" si="31"/>
        <v>0.51</v>
      </c>
      <c r="J101" s="2905">
        <f t="shared" si="31"/>
        <v>0.51</v>
      </c>
      <c r="K101" s="2905">
        <f t="shared" si="31"/>
        <v>0.51</v>
      </c>
      <c r="L101" s="2905">
        <f t="shared" si="31"/>
        <v>0.51</v>
      </c>
      <c r="M101" s="2905">
        <f t="shared" si="31"/>
        <v>0.51</v>
      </c>
      <c r="N101" s="2905">
        <f t="shared" si="31"/>
        <v>0.51</v>
      </c>
    </row>
    <row r="102" spans="1:14">
      <c r="A102" s="3307"/>
      <c r="B102" s="2900">
        <v>1</v>
      </c>
      <c r="C102" s="2901">
        <f>1.9362/C101</f>
        <v>3.796470588235294</v>
      </c>
      <c r="D102" s="2901">
        <f>1.9362/D101</f>
        <v>3.796470588235294</v>
      </c>
      <c r="E102" s="2901">
        <f>1.8629/E101</f>
        <v>3.6527450980392158</v>
      </c>
      <c r="F102" s="2901">
        <f>1.8629/F101</f>
        <v>3.6527450980392158</v>
      </c>
      <c r="G102" s="2901">
        <f>1.8629/G101</f>
        <v>3.6527450980392158</v>
      </c>
      <c r="H102" s="2901">
        <f>1.8629/H101</f>
        <v>3.6527450980392158</v>
      </c>
      <c r="I102" s="2901">
        <f>1.8629/I101</f>
        <v>3.6527450980392158</v>
      </c>
      <c r="J102" s="2901">
        <f>1.942/J101</f>
        <v>3.8078431372549018</v>
      </c>
      <c r="K102" s="2901">
        <f>1.942/K101</f>
        <v>3.8078431372549018</v>
      </c>
      <c r="L102" s="2901">
        <f>1.942/L101</f>
        <v>3.8078431372549018</v>
      </c>
      <c r="M102" s="2901">
        <f>1.942/M101</f>
        <v>3.8078431372549018</v>
      </c>
      <c r="N102" s="2901">
        <f>1.942/N101</f>
        <v>3.8078431372549018</v>
      </c>
    </row>
    <row r="103" spans="1:14">
      <c r="A103" s="3307"/>
      <c r="B103" s="2900">
        <v>2</v>
      </c>
      <c r="C103" s="2901">
        <f>1.4198/C101</f>
        <v>2.7839215686274508</v>
      </c>
      <c r="D103" s="2901">
        <f>1.4198/D101</f>
        <v>2.7839215686274508</v>
      </c>
      <c r="E103" s="2901">
        <f>1.3372/E101</f>
        <v>2.6219607843137251</v>
      </c>
      <c r="F103" s="2901">
        <f>1.3372/F101</f>
        <v>2.6219607843137251</v>
      </c>
      <c r="G103" s="2901">
        <f>1.3372/G101</f>
        <v>2.6219607843137251</v>
      </c>
      <c r="H103" s="2901">
        <f>1.3372/H101</f>
        <v>2.6219607843137251</v>
      </c>
      <c r="I103" s="2901">
        <f>1.3372/I101</f>
        <v>2.6219607843137251</v>
      </c>
      <c r="J103" s="2901">
        <f>1.2799/J101</f>
        <v>2.509607843137255</v>
      </c>
      <c r="K103" s="2901">
        <f>1.2799/K101</f>
        <v>2.509607843137255</v>
      </c>
      <c r="L103" s="2901">
        <f>1.2799/L101</f>
        <v>2.509607843137255</v>
      </c>
      <c r="M103" s="2901">
        <f>1.2799/M101</f>
        <v>2.509607843137255</v>
      </c>
      <c r="N103" s="2901">
        <f>1.2799/N101</f>
        <v>2.509607843137255</v>
      </c>
    </row>
    <row r="104" spans="1:14">
      <c r="A104" s="3307"/>
      <c r="B104" s="2900">
        <v>3</v>
      </c>
      <c r="C104" s="2901">
        <f>1.1594/C101</f>
        <v>2.2733333333333334</v>
      </c>
      <c r="D104" s="2901">
        <f>1.1594/D101</f>
        <v>2.2733333333333334</v>
      </c>
      <c r="E104" s="2901">
        <f>1.0788/E101</f>
        <v>2.1152941176470588</v>
      </c>
      <c r="F104" s="2901">
        <f>1.0788/F101</f>
        <v>2.1152941176470588</v>
      </c>
      <c r="G104" s="2901">
        <f>1.0788/G101</f>
        <v>2.1152941176470588</v>
      </c>
      <c r="H104" s="2901">
        <f>1.0788/H101</f>
        <v>2.1152941176470588</v>
      </c>
      <c r="I104" s="2901">
        <f>1.0788/I101</f>
        <v>2.1152941176470588</v>
      </c>
      <c r="J104" s="2901">
        <f>1.0072/J101</f>
        <v>1.9749019607843139</v>
      </c>
      <c r="K104" s="2901">
        <f>1.0072/K101</f>
        <v>1.9749019607843139</v>
      </c>
      <c r="L104" s="2901">
        <f>1.0072/L101</f>
        <v>1.9749019607843139</v>
      </c>
      <c r="M104" s="2901">
        <f>1.0072/M101</f>
        <v>1.9749019607843139</v>
      </c>
      <c r="N104" s="2901">
        <f>1.0072/N101</f>
        <v>1.9749019607843139</v>
      </c>
    </row>
    <row r="105" spans="1:14">
      <c r="A105" s="3307"/>
      <c r="B105" s="2900">
        <v>4</v>
      </c>
      <c r="C105" s="2901">
        <f>0.9622/C101</f>
        <v>1.8866666666666667</v>
      </c>
      <c r="D105" s="2901">
        <f>0.9622/D101</f>
        <v>1.8866666666666667</v>
      </c>
      <c r="E105" s="2901">
        <f>0.8656/E101</f>
        <v>1.6972549019607843</v>
      </c>
      <c r="F105" s="2901">
        <f>0.8656/F101</f>
        <v>1.6972549019607843</v>
      </c>
      <c r="G105" s="2901">
        <f>0.8656/G101</f>
        <v>1.6972549019607843</v>
      </c>
      <c r="H105" s="2901">
        <f>0.8656/H101</f>
        <v>1.6972549019607843</v>
      </c>
      <c r="I105" s="2901">
        <f>0.8656/I101</f>
        <v>1.6972549019607843</v>
      </c>
      <c r="J105" s="2901">
        <f>0.7525/J101</f>
        <v>1.4754901960784312</v>
      </c>
      <c r="K105" s="2901">
        <f>0.7525/K101</f>
        <v>1.4754901960784312</v>
      </c>
      <c r="L105" s="2901">
        <f>0.7525/L101</f>
        <v>1.4754901960784312</v>
      </c>
      <c r="M105" s="2901">
        <f>0.7525/M101</f>
        <v>1.4754901960784312</v>
      </c>
      <c r="N105" s="2901">
        <f>0.7525/N101</f>
        <v>1.4754901960784312</v>
      </c>
    </row>
    <row r="106" spans="1:14">
      <c r="A106" s="3307"/>
      <c r="B106" s="2900">
        <v>5</v>
      </c>
      <c r="C106" s="2901">
        <f>0.8417/C101</f>
        <v>1.6503921568627451</v>
      </c>
      <c r="D106" s="2901">
        <f>0.8417/D101</f>
        <v>1.6503921568627451</v>
      </c>
      <c r="E106" s="2901">
        <f>0.7371/E101</f>
        <v>1.4452941176470588</v>
      </c>
      <c r="F106" s="2901">
        <f>0.7371/F101</f>
        <v>1.4452941176470588</v>
      </c>
      <c r="G106" s="2901">
        <f>0.7371/G101</f>
        <v>1.4452941176470588</v>
      </c>
      <c r="H106" s="2901">
        <f>0.7371/H101</f>
        <v>1.4452941176470588</v>
      </c>
      <c r="I106" s="2901">
        <f>0.7371/I101</f>
        <v>1.4452941176470588</v>
      </c>
      <c r="J106" s="2901">
        <f>0.5659/J101</f>
        <v>1.1096078431372549</v>
      </c>
      <c r="K106" s="2901">
        <f>0.5659/K101</f>
        <v>1.1096078431372549</v>
      </c>
      <c r="L106" s="2901">
        <f>0.5659/L101</f>
        <v>1.1096078431372549</v>
      </c>
      <c r="M106" s="2901">
        <f>0.5659/M101</f>
        <v>1.1096078431372549</v>
      </c>
      <c r="N106" s="2901">
        <f>0.5659/N101</f>
        <v>1.1096078431372549</v>
      </c>
    </row>
    <row r="107" spans="1:14">
      <c r="A107" s="3307"/>
      <c r="B107" s="2900">
        <v>6</v>
      </c>
      <c r="C107" s="2901">
        <f>0.7608/C101</f>
        <v>1.4917647058823529</v>
      </c>
      <c r="D107" s="2901">
        <f>0.7608/D101</f>
        <v>1.4917647058823529</v>
      </c>
      <c r="E107" s="2901">
        <f>0.6482/E101</f>
        <v>1.2709803921568628</v>
      </c>
      <c r="F107" s="2901">
        <f>0.6482/F101</f>
        <v>1.2709803921568628</v>
      </c>
      <c r="G107" s="2901">
        <f>0.6482/G101</f>
        <v>1.2709803921568628</v>
      </c>
      <c r="H107" s="2901">
        <f>0.6482/H101</f>
        <v>1.2709803921568628</v>
      </c>
      <c r="I107" s="2901">
        <f>0.6482/I101</f>
        <v>1.2709803921568628</v>
      </c>
      <c r="J107" s="2901">
        <f>0.4525/J101</f>
        <v>0.88725490196078427</v>
      </c>
      <c r="K107" s="2901">
        <f>0.4525/K101</f>
        <v>0.88725490196078427</v>
      </c>
      <c r="L107" s="2901">
        <f>0.4525/L101</f>
        <v>0.88725490196078427</v>
      </c>
      <c r="M107" s="2901">
        <f>0.4525/M101</f>
        <v>0.88725490196078427</v>
      </c>
      <c r="N107" s="2901">
        <f>0.4525/N101</f>
        <v>0.88725490196078427</v>
      </c>
    </row>
    <row r="108" spans="1:14">
      <c r="A108" s="3307"/>
      <c r="B108" s="3135"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08"/>
      <c r="B109" s="3136"/>
      <c r="C109" s="2903">
        <f>(-0.163*(C108^2)-0.59*C108+7617)*(10^(-4))/C101</f>
        <v>1.493529411764706</v>
      </c>
      <c r="D109" s="2903">
        <f>(-0.163*(D108^2)-0.59*D108+7617)*(10^(-4))/D101</f>
        <v>1.493529411764706</v>
      </c>
      <c r="E109" s="2903">
        <f>(-0.161*(E108^2)-7.509*E108+6533)*(10^(-4))/E101</f>
        <v>1.2809803921568628</v>
      </c>
      <c r="F109" s="2903">
        <f>(-0.161*(F108^2)-7.509*F108+6533)*(10^(-4))/F101</f>
        <v>1.2809803921568628</v>
      </c>
      <c r="G109" s="2903">
        <f>(-0.161*(G108^2)-7.509*G108+6533)*(10^(-4))/G101</f>
        <v>1.2809803921568628</v>
      </c>
      <c r="H109" s="2903">
        <f>(-0.161*(H108^2)-7.509*H108+6533)*(10^(-4))/H101</f>
        <v>1.2809803921568628</v>
      </c>
      <c r="I109" s="2903">
        <f>(-0.161*(I108^2)-7.509*I108+6533)*(10^(-4))/I101</f>
        <v>1.2809803921568628</v>
      </c>
      <c r="J109" s="2903">
        <f>(-0.214*(J108^2)-21.991*J108+4665)*(10^(-4))/J101</f>
        <v>0.91470588235294126</v>
      </c>
      <c r="K109" s="2903">
        <f>(-0.214*(K108^2)-21.991*K108+4665)*(10^(-4))/K101</f>
        <v>0.91470588235294126</v>
      </c>
      <c r="L109" s="2903">
        <f>(-0.214*(L108^2)-21.991*L108+4665)*(10^(-4))/L101</f>
        <v>0.91470588235294126</v>
      </c>
      <c r="M109" s="2903">
        <f>(-0.214*(M108^2)-21.991*M108+4665)*(10^(-4))/M101</f>
        <v>0.91470588235294126</v>
      </c>
      <c r="N109" s="2903">
        <f>(-0.214*(N108^2)-21.991*N108+4665)*(10^(-4))/N101</f>
        <v>0.91470588235294126</v>
      </c>
    </row>
    <row r="110" spans="1:14">
      <c r="A110" s="3304" t="s">
        <v>2980</v>
      </c>
      <c r="B110" s="3304"/>
      <c r="C110" s="3304"/>
      <c r="D110" s="3304"/>
      <c r="E110" s="3304"/>
      <c r="F110" s="3304"/>
      <c r="G110" s="3304"/>
      <c r="H110" s="3304"/>
      <c r="I110" s="3304"/>
      <c r="J110" s="3304"/>
      <c r="K110" s="2906"/>
      <c r="L110" s="2906"/>
      <c r="M110" s="2906"/>
      <c r="N110" s="2906"/>
    </row>
    <row r="112" spans="1:14" ht="13.5" thickBot="1"/>
    <row r="113" spans="1:13" ht="25.5" thickBot="1">
      <c r="A113" s="903" t="s">
        <v>2981</v>
      </c>
      <c r="B113" s="1290">
        <f>G3</f>
        <v>0.51</v>
      </c>
      <c r="C113" s="904" t="s">
        <v>2982</v>
      </c>
      <c r="D113" s="905">
        <f>SUMPRODUCT((A115:A118=F113)*(B114:M114=H113)*B115:M118)</f>
        <v>0</v>
      </c>
      <c r="E113" s="2729" t="s">
        <v>2812</v>
      </c>
      <c r="F113" s="2908">
        <f>E2</f>
        <v>0</v>
      </c>
      <c r="G113" s="2729" t="s">
        <v>2813</v>
      </c>
      <c r="H113" s="2908">
        <f>G2</f>
        <v>0</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1" t="s">
        <v>183</v>
      </c>
      <c r="B18" s="882" t="s">
        <v>560</v>
      </c>
      <c r="C18" s="883" t="s">
        <v>561</v>
      </c>
      <c r="D18" s="884"/>
      <c r="E18" s="882">
        <v>1</v>
      </c>
      <c r="F18" s="885" t="s">
        <v>562</v>
      </c>
      <c r="G18" s="886"/>
      <c r="H18" s="878"/>
      <c r="I18" s="878"/>
    </row>
    <row r="19" spans="1:9" s="887" customFormat="1" ht="19.5" customHeight="1">
      <c r="A19" s="3321"/>
      <c r="B19" s="3321" t="s">
        <v>563</v>
      </c>
      <c r="C19" s="883" t="s">
        <v>564</v>
      </c>
      <c r="D19" s="884"/>
      <c r="E19" s="882">
        <v>0.9</v>
      </c>
      <c r="F19" s="885" t="s">
        <v>565</v>
      </c>
      <c r="G19" s="886"/>
      <c r="H19" s="878"/>
      <c r="I19" s="878"/>
    </row>
    <row r="20" spans="1:9" s="887" customFormat="1" ht="19.5" customHeight="1">
      <c r="A20" s="3321"/>
      <c r="B20" s="3321"/>
      <c r="C20" s="883" t="s">
        <v>566</v>
      </c>
      <c r="D20" s="884"/>
      <c r="E20" s="882">
        <v>1.1000000000000001</v>
      </c>
      <c r="F20" s="885" t="s">
        <v>567</v>
      </c>
      <c r="G20" s="886"/>
      <c r="H20" s="878"/>
      <c r="I20" s="878"/>
    </row>
    <row r="21" spans="1:9" s="887" customFormat="1" ht="19.5" customHeight="1">
      <c r="A21" s="3321"/>
      <c r="B21" s="3321"/>
      <c r="C21" s="883" t="s">
        <v>568</v>
      </c>
      <c r="D21" s="884"/>
      <c r="E21" s="882">
        <v>0.8</v>
      </c>
      <c r="F21" s="885" t="s">
        <v>569</v>
      </c>
      <c r="G21" s="886"/>
      <c r="H21" s="878"/>
      <c r="I21" s="878"/>
    </row>
    <row r="22" spans="1:9" s="887" customFormat="1" ht="19.5" customHeight="1">
      <c r="A22" s="3321"/>
      <c r="B22" s="3321"/>
      <c r="C22" s="883" t="s">
        <v>570</v>
      </c>
      <c r="D22" s="884"/>
      <c r="E22" s="882">
        <v>0.5</v>
      </c>
      <c r="F22" s="885"/>
      <c r="G22" s="886"/>
      <c r="H22" s="878"/>
      <c r="I22" s="878"/>
    </row>
    <row r="23" spans="1:9" s="887" customFormat="1" ht="19.5" customHeight="1">
      <c r="A23" s="3321" t="s">
        <v>184</v>
      </c>
      <c r="B23" s="882" t="s">
        <v>560</v>
      </c>
      <c r="C23" s="883" t="s">
        <v>571</v>
      </c>
      <c r="D23" s="884"/>
      <c r="E23" s="882">
        <v>1</v>
      </c>
      <c r="F23" s="885" t="s">
        <v>572</v>
      </c>
      <c r="G23" s="886"/>
      <c r="H23" s="878"/>
      <c r="I23" s="878"/>
    </row>
    <row r="24" spans="1:9" s="887" customFormat="1" ht="19.5" customHeight="1">
      <c r="A24" s="3321"/>
      <c r="B24" s="3321" t="s">
        <v>563</v>
      </c>
      <c r="C24" s="883" t="s">
        <v>573</v>
      </c>
      <c r="D24" s="884"/>
      <c r="E24" s="882">
        <v>0.5</v>
      </c>
      <c r="F24" s="885"/>
      <c r="G24" s="886"/>
      <c r="H24" s="878"/>
      <c r="I24" s="878"/>
    </row>
    <row r="25" spans="1:9" s="887" customFormat="1" ht="19.5" customHeight="1">
      <c r="A25" s="3321"/>
      <c r="B25" s="3321"/>
      <c r="C25" s="883" t="s">
        <v>574</v>
      </c>
      <c r="D25" s="884"/>
      <c r="E25" s="882">
        <v>1.1000000000000001</v>
      </c>
      <c r="F25" s="885"/>
      <c r="G25" s="886"/>
      <c r="H25" s="878"/>
      <c r="I25" s="878"/>
    </row>
    <row r="26" spans="1:9" s="887" customFormat="1" ht="19.5" customHeight="1">
      <c r="A26" s="3321"/>
      <c r="B26" s="3321"/>
      <c r="C26" s="883" t="s">
        <v>575</v>
      </c>
      <c r="D26" s="884"/>
      <c r="E26" s="882">
        <v>1.1000000000000001</v>
      </c>
      <c r="F26" s="885"/>
      <c r="G26" s="886"/>
      <c r="H26" s="878"/>
      <c r="I26" s="878"/>
    </row>
    <row r="27" spans="1:9" s="887" customFormat="1" ht="19.5" customHeight="1">
      <c r="A27" s="3321"/>
      <c r="B27" s="3321"/>
      <c r="C27" s="883" t="s">
        <v>576</v>
      </c>
      <c r="D27" s="884"/>
      <c r="E27" s="882">
        <v>0.9</v>
      </c>
      <c r="F27" s="885" t="s">
        <v>577</v>
      </c>
      <c r="G27" s="886"/>
      <c r="H27" s="878"/>
      <c r="I27" s="878"/>
    </row>
    <row r="28" spans="1:9" s="887" customFormat="1" ht="19.5" customHeight="1">
      <c r="A28" s="3321"/>
      <c r="B28" s="3321"/>
      <c r="C28" s="883" t="s">
        <v>578</v>
      </c>
      <c r="D28" s="884"/>
      <c r="E28" s="882">
        <v>0.9</v>
      </c>
      <c r="F28" s="885" t="s">
        <v>579</v>
      </c>
      <c r="G28" s="886"/>
      <c r="H28" s="878"/>
      <c r="I28" s="878"/>
    </row>
    <row r="29" spans="1:9" s="887" customFormat="1" ht="19.5" customHeight="1">
      <c r="A29" s="3321"/>
      <c r="B29" s="3321"/>
      <c r="C29" s="883" t="s">
        <v>580</v>
      </c>
      <c r="D29" s="884"/>
      <c r="E29" s="882">
        <v>0.9</v>
      </c>
      <c r="F29" s="885" t="s">
        <v>581</v>
      </c>
      <c r="G29" s="886"/>
      <c r="H29" s="878"/>
      <c r="I29" s="878"/>
    </row>
    <row r="30" spans="1:9" s="887" customFormat="1" ht="19.5" customHeight="1">
      <c r="A30" s="3321"/>
      <c r="B30" s="3321"/>
      <c r="C30" s="883" t="s">
        <v>582</v>
      </c>
      <c r="D30" s="884"/>
      <c r="E30" s="882">
        <v>0.9</v>
      </c>
      <c r="F30" s="885" t="s">
        <v>583</v>
      </c>
      <c r="G30" s="886"/>
      <c r="H30" s="878"/>
      <c r="I30" s="878"/>
    </row>
    <row r="31" spans="1:9" s="887" customFormat="1" ht="19.5" customHeight="1">
      <c r="A31" s="3321"/>
      <c r="B31" s="3321"/>
      <c r="C31" s="883" t="s">
        <v>584</v>
      </c>
      <c r="D31" s="884"/>
      <c r="E31" s="882">
        <v>0.8</v>
      </c>
      <c r="F31" s="885" t="s">
        <v>585</v>
      </c>
      <c r="G31" s="886"/>
      <c r="H31" s="878"/>
      <c r="I31" s="878"/>
    </row>
    <row r="32" spans="1:9" s="887" customFormat="1" ht="19.5" customHeight="1">
      <c r="A32" s="3321"/>
      <c r="B32" s="3321"/>
      <c r="C32" s="883" t="s">
        <v>586</v>
      </c>
      <c r="D32" s="884"/>
      <c r="E32" s="882">
        <v>0.8</v>
      </c>
      <c r="F32" s="885" t="s">
        <v>587</v>
      </c>
      <c r="G32" s="886"/>
      <c r="H32" s="878"/>
      <c r="I32" s="878"/>
    </row>
    <row r="33" spans="1:9" s="887" customFormat="1" ht="19.5" customHeight="1">
      <c r="A33" s="3321" t="s">
        <v>185</v>
      </c>
      <c r="B33" s="882" t="s">
        <v>560</v>
      </c>
      <c r="C33" s="883" t="s">
        <v>588</v>
      </c>
      <c r="D33" s="884"/>
      <c r="E33" s="882">
        <v>1</v>
      </c>
      <c r="F33" s="885" t="s">
        <v>589</v>
      </c>
      <c r="G33" s="886"/>
      <c r="H33" s="878"/>
      <c r="I33" s="878"/>
    </row>
    <row r="34" spans="1:9" s="887" customFormat="1" ht="19.5" customHeight="1">
      <c r="A34" s="3321"/>
      <c r="B34" s="882" t="s">
        <v>563</v>
      </c>
      <c r="C34" s="883" t="s">
        <v>590</v>
      </c>
      <c r="D34" s="884"/>
      <c r="E34" s="882">
        <v>1.5</v>
      </c>
      <c r="F34" s="885" t="s">
        <v>591</v>
      </c>
      <c r="G34" s="886"/>
      <c r="H34" s="878"/>
      <c r="I34" s="878"/>
    </row>
    <row r="35" spans="1:9" s="887" customFormat="1" ht="19.5" customHeight="1">
      <c r="A35" s="3321" t="s">
        <v>186</v>
      </c>
      <c r="B35" s="882" t="s">
        <v>560</v>
      </c>
      <c r="C35" s="883" t="s">
        <v>592</v>
      </c>
      <c r="D35" s="884"/>
      <c r="E35" s="882">
        <v>1</v>
      </c>
      <c r="F35" s="885" t="s">
        <v>593</v>
      </c>
      <c r="G35" s="886"/>
      <c r="H35" s="878"/>
      <c r="I35" s="878"/>
    </row>
    <row r="36" spans="1:9" s="887" customFormat="1" ht="19.5" customHeight="1">
      <c r="A36" s="3321"/>
      <c r="B36" s="3321" t="s">
        <v>563</v>
      </c>
      <c r="C36" s="883" t="s">
        <v>594</v>
      </c>
      <c r="D36" s="884"/>
      <c r="E36" s="882">
        <v>1</v>
      </c>
      <c r="F36" s="885" t="s">
        <v>595</v>
      </c>
      <c r="G36" s="886"/>
      <c r="H36" s="878"/>
      <c r="I36" s="878"/>
    </row>
    <row r="37" spans="1:9" s="887" customFormat="1" ht="19.5" customHeight="1">
      <c r="A37" s="3321"/>
      <c r="B37" s="3321"/>
      <c r="C37" s="883" t="s">
        <v>596</v>
      </c>
      <c r="D37" s="884"/>
      <c r="E37" s="882">
        <v>1.5</v>
      </c>
      <c r="F37" s="885" t="s">
        <v>597</v>
      </c>
      <c r="G37" s="886"/>
      <c r="H37" s="878"/>
      <c r="I37" s="878"/>
    </row>
    <row r="38" spans="1:9" s="887" customFormat="1" ht="19.5" customHeight="1">
      <c r="A38" s="3321"/>
      <c r="B38" s="3321"/>
      <c r="C38" s="883" t="s">
        <v>598</v>
      </c>
      <c r="D38" s="884"/>
      <c r="E38" s="882">
        <v>1</v>
      </c>
      <c r="F38" s="885" t="s">
        <v>599</v>
      </c>
      <c r="G38" s="886"/>
      <c r="H38" s="878"/>
      <c r="I38" s="878"/>
    </row>
    <row r="39" spans="1:9" s="887" customFormat="1" ht="19.5" customHeight="1">
      <c r="A39" s="3321"/>
      <c r="B39" s="33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1" t="s">
        <v>614</v>
      </c>
      <c r="C61" s="818" t="s">
        <v>615</v>
      </c>
      <c r="D61" s="818" t="s">
        <v>616</v>
      </c>
      <c r="E61" s="895">
        <v>0.5</v>
      </c>
      <c r="F61" s="882">
        <v>80</v>
      </c>
    </row>
    <row r="62" spans="1:8" s="878" customFormat="1" ht="24">
      <c r="A62" s="882">
        <v>2</v>
      </c>
      <c r="B62" s="3321"/>
      <c r="C62" s="818" t="s">
        <v>617</v>
      </c>
      <c r="D62" s="818" t="s">
        <v>618</v>
      </c>
      <c r="E62" s="895">
        <v>0.5</v>
      </c>
      <c r="F62" s="882">
        <v>80</v>
      </c>
    </row>
    <row r="63" spans="1:8" s="878" customFormat="1" ht="36">
      <c r="A63" s="882">
        <v>3</v>
      </c>
      <c r="B63" s="3321"/>
      <c r="C63" s="818" t="s">
        <v>619</v>
      </c>
      <c r="D63" s="818" t="s">
        <v>620</v>
      </c>
      <c r="E63" s="895">
        <v>0.5</v>
      </c>
      <c r="F63" s="882">
        <v>80</v>
      </c>
    </row>
    <row r="64" spans="1:8" s="878" customFormat="1" ht="36">
      <c r="A64" s="882">
        <v>4</v>
      </c>
      <c r="B64" s="3321"/>
      <c r="C64" s="818" t="s">
        <v>621</v>
      </c>
      <c r="D64" s="818" t="s">
        <v>622</v>
      </c>
      <c r="E64" s="895">
        <v>0.4</v>
      </c>
      <c r="F64" s="882">
        <v>60</v>
      </c>
    </row>
    <row r="65" spans="1:6" s="878" customFormat="1" ht="36">
      <c r="A65" s="882">
        <v>5</v>
      </c>
      <c r="B65" s="3321"/>
      <c r="C65" s="818" t="s">
        <v>623</v>
      </c>
      <c r="D65" s="818" t="s">
        <v>624</v>
      </c>
      <c r="E65" s="895">
        <v>0.2</v>
      </c>
      <c r="F65" s="882">
        <v>30</v>
      </c>
    </row>
    <row r="66" spans="1:6" s="878" customFormat="1" ht="36">
      <c r="A66" s="882">
        <v>6</v>
      </c>
      <c r="B66" s="3321"/>
      <c r="C66" s="818" t="s">
        <v>625</v>
      </c>
      <c r="D66" s="818" t="s">
        <v>626</v>
      </c>
      <c r="E66" s="895">
        <v>0.3</v>
      </c>
      <c r="F66" s="882">
        <v>50</v>
      </c>
    </row>
    <row r="67" spans="1:6" s="878" customFormat="1" ht="36">
      <c r="A67" s="882">
        <v>7</v>
      </c>
      <c r="B67" s="3321"/>
      <c r="C67" s="818" t="s">
        <v>627</v>
      </c>
      <c r="D67" s="818" t="s">
        <v>628</v>
      </c>
      <c r="E67" s="895">
        <v>0.2</v>
      </c>
      <c r="F67" s="882">
        <v>30</v>
      </c>
    </row>
    <row r="68" spans="1:6" s="878" customFormat="1" ht="36">
      <c r="A68" s="882">
        <v>8</v>
      </c>
      <c r="B68" s="3321"/>
      <c r="C68" s="818" t="s">
        <v>629</v>
      </c>
      <c r="D68" s="818" t="s">
        <v>630</v>
      </c>
      <c r="E68" s="895">
        <v>0.2</v>
      </c>
      <c r="F68" s="882">
        <v>30</v>
      </c>
    </row>
    <row r="69" spans="1:6" s="878" customFormat="1" ht="36">
      <c r="A69" s="882">
        <v>9</v>
      </c>
      <c r="B69" s="3321"/>
      <c r="C69" s="818" t="s">
        <v>631</v>
      </c>
      <c r="D69" s="818" t="s">
        <v>632</v>
      </c>
      <c r="E69" s="895">
        <v>0.2</v>
      </c>
      <c r="F69" s="882">
        <v>30</v>
      </c>
    </row>
    <row r="70" spans="1:6" s="878" customFormat="1" ht="48">
      <c r="A70" s="882">
        <v>10</v>
      </c>
      <c r="B70" s="3321"/>
      <c r="C70" s="818" t="s">
        <v>633</v>
      </c>
      <c r="D70" s="818" t="s">
        <v>634</v>
      </c>
      <c r="E70" s="895">
        <v>0.2</v>
      </c>
      <c r="F70" s="882">
        <v>30</v>
      </c>
    </row>
    <row r="71" spans="1:6" s="878" customFormat="1" ht="48">
      <c r="A71" s="882">
        <v>11</v>
      </c>
      <c r="B71" s="3321"/>
      <c r="C71" s="818" t="s">
        <v>635</v>
      </c>
      <c r="D71" s="818" t="s">
        <v>636</v>
      </c>
      <c r="E71" s="895">
        <v>0.2</v>
      </c>
      <c r="F71" s="882">
        <v>30</v>
      </c>
    </row>
    <row r="72" spans="1:6" s="878" customFormat="1" ht="36">
      <c r="A72" s="882">
        <v>12</v>
      </c>
      <c r="B72" s="3321"/>
      <c r="C72" s="818" t="s">
        <v>637</v>
      </c>
      <c r="D72" s="818" t="s">
        <v>638</v>
      </c>
      <c r="E72" s="895">
        <v>0.5</v>
      </c>
      <c r="F72" s="882">
        <v>80</v>
      </c>
    </row>
    <row r="73" spans="1:6" s="878" customFormat="1" ht="24">
      <c r="A73" s="882">
        <v>13</v>
      </c>
      <c r="B73" s="3321"/>
      <c r="C73" s="818" t="s">
        <v>639</v>
      </c>
      <c r="D73" s="818" t="s">
        <v>640</v>
      </c>
      <c r="E73" s="895">
        <v>0.4</v>
      </c>
      <c r="F73" s="882">
        <v>60</v>
      </c>
    </row>
    <row r="74" spans="1:6" s="878" customFormat="1" ht="24">
      <c r="A74" s="882">
        <v>14</v>
      </c>
      <c r="B74" s="3321"/>
      <c r="C74" s="818" t="s">
        <v>641</v>
      </c>
      <c r="D74" s="818" t="s">
        <v>642</v>
      </c>
      <c r="E74" s="895">
        <v>0.2</v>
      </c>
      <c r="F74" s="882">
        <v>30</v>
      </c>
    </row>
    <row r="75" spans="1:6" s="878" customFormat="1" ht="24">
      <c r="A75" s="882">
        <v>15</v>
      </c>
      <c r="B75" s="3321"/>
      <c r="C75" s="818" t="s">
        <v>643</v>
      </c>
      <c r="D75" s="818" t="s">
        <v>644</v>
      </c>
      <c r="E75" s="895">
        <v>0.2</v>
      </c>
      <c r="F75" s="882">
        <v>30</v>
      </c>
    </row>
    <row r="76" spans="1:6" s="878" customFormat="1" ht="24">
      <c r="A76" s="882">
        <v>16</v>
      </c>
      <c r="B76" s="3321" t="s">
        <v>645</v>
      </c>
      <c r="C76" s="818" t="s">
        <v>646</v>
      </c>
      <c r="D76" s="818" t="s">
        <v>647</v>
      </c>
      <c r="E76" s="895">
        <v>0.5</v>
      </c>
      <c r="F76" s="882">
        <v>80</v>
      </c>
    </row>
    <row r="77" spans="1:6" s="878" customFormat="1" ht="24">
      <c r="A77" s="882">
        <v>17</v>
      </c>
      <c r="B77" s="3321"/>
      <c r="C77" s="818" t="s">
        <v>648</v>
      </c>
      <c r="D77" s="818" t="s">
        <v>649</v>
      </c>
      <c r="E77" s="895">
        <v>0.5</v>
      </c>
      <c r="F77" s="882">
        <v>80</v>
      </c>
    </row>
    <row r="78" spans="1:6" s="878" customFormat="1" ht="24">
      <c r="A78" s="882">
        <v>18</v>
      </c>
      <c r="B78" s="3321"/>
      <c r="C78" s="818" t="s">
        <v>650</v>
      </c>
      <c r="D78" s="818" t="s">
        <v>651</v>
      </c>
      <c r="E78" s="895">
        <v>0.2</v>
      </c>
      <c r="F78" s="882">
        <v>30</v>
      </c>
    </row>
    <row r="79" spans="1:6" s="878" customFormat="1" ht="24">
      <c r="A79" s="882">
        <v>19</v>
      </c>
      <c r="B79" s="3321"/>
      <c r="C79" s="818" t="s">
        <v>652</v>
      </c>
      <c r="D79" s="818" t="s">
        <v>653</v>
      </c>
      <c r="E79" s="895">
        <v>0.5</v>
      </c>
      <c r="F79" s="882">
        <v>80</v>
      </c>
    </row>
    <row r="80" spans="1:6" s="878" customFormat="1" ht="36">
      <c r="A80" s="882">
        <v>20</v>
      </c>
      <c r="B80" s="3321"/>
      <c r="C80" s="818" t="s">
        <v>654</v>
      </c>
      <c r="D80" s="818" t="s">
        <v>655</v>
      </c>
      <c r="E80" s="895">
        <v>0.2</v>
      </c>
      <c r="F80" s="882">
        <v>30</v>
      </c>
    </row>
    <row r="81" spans="1:6" s="878" customFormat="1" ht="36">
      <c r="A81" s="882">
        <v>21</v>
      </c>
      <c r="B81" s="3321"/>
      <c r="C81" s="818" t="s">
        <v>656</v>
      </c>
      <c r="D81" s="818" t="s">
        <v>657</v>
      </c>
      <c r="E81" s="895">
        <v>0.2</v>
      </c>
      <c r="F81" s="882">
        <v>30</v>
      </c>
    </row>
    <row r="82" spans="1:6" s="878" customFormat="1" ht="48">
      <c r="A82" s="882">
        <v>22</v>
      </c>
      <c r="B82" s="3321"/>
      <c r="C82" s="818" t="s">
        <v>658</v>
      </c>
      <c r="D82" s="818" t="s">
        <v>659</v>
      </c>
      <c r="E82" s="895">
        <v>0.2</v>
      </c>
      <c r="F82" s="882">
        <v>30</v>
      </c>
    </row>
    <row r="83" spans="1:6" s="878" customFormat="1" ht="48">
      <c r="A83" s="882">
        <v>23</v>
      </c>
      <c r="B83" s="3321"/>
      <c r="C83" s="818" t="s">
        <v>660</v>
      </c>
      <c r="D83" s="818" t="s">
        <v>661</v>
      </c>
      <c r="E83" s="895">
        <v>0.2</v>
      </c>
      <c r="F83" s="882">
        <v>30</v>
      </c>
    </row>
    <row r="84" spans="1:6" s="878" customFormat="1" ht="36">
      <c r="A84" s="882">
        <v>24</v>
      </c>
      <c r="B84" s="3321"/>
      <c r="C84" s="818" t="s">
        <v>662</v>
      </c>
      <c r="D84" s="818" t="s">
        <v>663</v>
      </c>
      <c r="E84" s="895">
        <v>0.2</v>
      </c>
      <c r="F84" s="882">
        <v>30</v>
      </c>
    </row>
    <row r="85" spans="1:6" s="878" customFormat="1" ht="36">
      <c r="A85" s="882">
        <v>25</v>
      </c>
      <c r="B85" s="3321"/>
      <c r="C85" s="818" t="s">
        <v>664</v>
      </c>
      <c r="D85" s="818" t="s">
        <v>665</v>
      </c>
      <c r="E85" s="895">
        <v>0.5</v>
      </c>
      <c r="F85" s="882">
        <v>80</v>
      </c>
    </row>
    <row r="86" spans="1:6" s="878" customFormat="1" ht="36">
      <c r="A86" s="882">
        <v>26</v>
      </c>
      <c r="B86" s="3321"/>
      <c r="C86" s="818" t="s">
        <v>666</v>
      </c>
      <c r="D86" s="818" t="s">
        <v>667</v>
      </c>
      <c r="E86" s="895">
        <v>0.2</v>
      </c>
      <c r="F86" s="882">
        <v>30</v>
      </c>
    </row>
    <row r="87" spans="1:6" s="878" customFormat="1" ht="36">
      <c r="A87" s="882">
        <v>27</v>
      </c>
      <c r="B87" s="3321"/>
      <c r="C87" s="818" t="s">
        <v>668</v>
      </c>
      <c r="D87" s="818" t="s">
        <v>669</v>
      </c>
      <c r="E87" s="895">
        <v>0.2</v>
      </c>
      <c r="F87" s="882">
        <v>30</v>
      </c>
    </row>
    <row r="88" spans="1:6" s="878" customFormat="1" ht="36">
      <c r="A88" s="882">
        <v>28</v>
      </c>
      <c r="B88" s="3321"/>
      <c r="C88" s="818" t="s">
        <v>670</v>
      </c>
      <c r="D88" s="818" t="s">
        <v>671</v>
      </c>
      <c r="E88" s="895">
        <v>0.2</v>
      </c>
      <c r="F88" s="882">
        <v>30</v>
      </c>
    </row>
    <row r="89" spans="1:6" s="878" customFormat="1" ht="24">
      <c r="A89" s="882">
        <v>29</v>
      </c>
      <c r="B89" s="3321"/>
      <c r="C89" s="818" t="s">
        <v>672</v>
      </c>
      <c r="D89" s="818" t="s">
        <v>673</v>
      </c>
      <c r="E89" s="895">
        <v>0.2</v>
      </c>
      <c r="F89" s="882">
        <v>30</v>
      </c>
    </row>
    <row r="90" spans="1:6" s="878" customFormat="1" ht="24">
      <c r="A90" s="882">
        <v>30</v>
      </c>
      <c r="B90" s="3321"/>
      <c r="C90" s="818" t="s">
        <v>674</v>
      </c>
      <c r="D90" s="818" t="s">
        <v>675</v>
      </c>
      <c r="E90" s="895">
        <v>0.2</v>
      </c>
      <c r="F90" s="882">
        <v>30</v>
      </c>
    </row>
    <row r="91" spans="1:6" s="878" customFormat="1" ht="36">
      <c r="A91" s="882">
        <v>31</v>
      </c>
      <c r="B91" s="3321"/>
      <c r="C91" s="818" t="s">
        <v>676</v>
      </c>
      <c r="D91" s="818" t="s">
        <v>677</v>
      </c>
      <c r="E91" s="895">
        <v>0.2</v>
      </c>
      <c r="F91" s="882">
        <v>30</v>
      </c>
    </row>
    <row r="92" spans="1:6" s="878" customFormat="1" ht="24">
      <c r="A92" s="882">
        <v>32</v>
      </c>
      <c r="B92" s="3321" t="s">
        <v>678</v>
      </c>
      <c r="C92" s="882" t="s">
        <v>679</v>
      </c>
      <c r="D92" s="818" t="s">
        <v>680</v>
      </c>
      <c r="E92" s="895">
        <v>0.2</v>
      </c>
      <c r="F92" s="882">
        <v>30</v>
      </c>
    </row>
    <row r="93" spans="1:6" s="878" customFormat="1" ht="36">
      <c r="A93" s="882">
        <v>33</v>
      </c>
      <c r="B93" s="3321"/>
      <c r="C93" s="882" t="s">
        <v>681</v>
      </c>
      <c r="D93" s="818" t="s">
        <v>682</v>
      </c>
      <c r="E93" s="895">
        <v>0.2</v>
      </c>
      <c r="F93" s="882">
        <v>30</v>
      </c>
    </row>
    <row r="94" spans="1:6" s="878" customFormat="1" ht="48">
      <c r="A94" s="882">
        <v>34</v>
      </c>
      <c r="B94" s="3321"/>
      <c r="C94" s="882" t="s">
        <v>683</v>
      </c>
      <c r="D94" s="818" t="s">
        <v>684</v>
      </c>
      <c r="E94" s="895">
        <v>0.2</v>
      </c>
      <c r="F94" s="882">
        <v>30</v>
      </c>
    </row>
    <row r="95" spans="1:6" s="878" customFormat="1" ht="36">
      <c r="A95" s="882">
        <v>35</v>
      </c>
      <c r="B95" s="3321"/>
      <c r="C95" s="882" t="s">
        <v>685</v>
      </c>
      <c r="D95" s="818" t="s">
        <v>686</v>
      </c>
      <c r="E95" s="895">
        <v>0.2</v>
      </c>
      <c r="F95" s="882">
        <v>30</v>
      </c>
    </row>
    <row r="96" spans="1:6" s="878" customFormat="1" ht="48">
      <c r="A96" s="882">
        <v>36</v>
      </c>
      <c r="B96" s="3321"/>
      <c r="C96" s="818" t="s">
        <v>687</v>
      </c>
      <c r="D96" s="818" t="s">
        <v>688</v>
      </c>
      <c r="E96" s="895">
        <v>0.2</v>
      </c>
      <c r="F96" s="882">
        <v>30</v>
      </c>
    </row>
    <row r="97" spans="1:6" s="878" customFormat="1" ht="36">
      <c r="A97" s="882">
        <v>37</v>
      </c>
      <c r="B97" s="3321"/>
      <c r="C97" s="882" t="s">
        <v>689</v>
      </c>
      <c r="D97" s="818" t="s">
        <v>690</v>
      </c>
      <c r="E97" s="895">
        <v>0.2</v>
      </c>
      <c r="F97" s="882">
        <v>30</v>
      </c>
    </row>
    <row r="98" spans="1:6" s="878" customFormat="1" ht="36">
      <c r="A98" s="882">
        <v>38</v>
      </c>
      <c r="B98" s="3321"/>
      <c r="C98" s="882" t="s">
        <v>691</v>
      </c>
      <c r="D98" s="818" t="s">
        <v>692</v>
      </c>
      <c r="E98" s="895">
        <v>0.2</v>
      </c>
      <c r="F98" s="882">
        <v>30</v>
      </c>
    </row>
    <row r="99" spans="1:6" s="878" customFormat="1" ht="36">
      <c r="A99" s="882">
        <v>39</v>
      </c>
      <c r="B99" s="3321" t="s">
        <v>693</v>
      </c>
      <c r="C99" s="882" t="s">
        <v>694</v>
      </c>
      <c r="D99" s="818" t="s">
        <v>695</v>
      </c>
      <c r="E99" s="895">
        <v>0.3</v>
      </c>
      <c r="F99" s="882">
        <v>50</v>
      </c>
    </row>
    <row r="100" spans="1:6" s="878" customFormat="1" ht="24">
      <c r="A100" s="882">
        <v>40</v>
      </c>
      <c r="B100" s="3321"/>
      <c r="C100" s="882" t="s">
        <v>696</v>
      </c>
      <c r="D100" s="818" t="s">
        <v>697</v>
      </c>
      <c r="E100" s="895">
        <v>0.2</v>
      </c>
      <c r="F100" s="882">
        <v>30</v>
      </c>
    </row>
    <row r="101" spans="1:6" s="878" customFormat="1" ht="36">
      <c r="A101" s="882">
        <v>41</v>
      </c>
      <c r="B101" s="332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1" t="s">
        <v>708</v>
      </c>
      <c r="C105" s="882" t="s">
        <v>709</v>
      </c>
      <c r="D105" s="818" t="s">
        <v>710</v>
      </c>
      <c r="E105" s="895">
        <v>0.2</v>
      </c>
      <c r="F105" s="882">
        <v>30</v>
      </c>
    </row>
    <row r="106" spans="1:6" s="878" customFormat="1" ht="36">
      <c r="A106" s="882">
        <v>46</v>
      </c>
      <c r="B106" s="3321"/>
      <c r="C106" s="882" t="s">
        <v>711</v>
      </c>
      <c r="D106" s="818" t="s">
        <v>712</v>
      </c>
      <c r="E106" s="895">
        <v>0.2</v>
      </c>
      <c r="F106" s="882">
        <v>30</v>
      </c>
    </row>
    <row r="107" spans="1:6" s="878" customFormat="1" ht="36">
      <c r="A107" s="882">
        <v>47</v>
      </c>
      <c r="B107" s="3321" t="s">
        <v>713</v>
      </c>
      <c r="C107" s="882" t="s">
        <v>714</v>
      </c>
      <c r="D107" s="818" t="s">
        <v>715</v>
      </c>
      <c r="E107" s="895">
        <v>0.3</v>
      </c>
      <c r="F107" s="882">
        <v>50</v>
      </c>
    </row>
    <row r="108" spans="1:6" s="878" customFormat="1" ht="36">
      <c r="A108" s="882">
        <v>48</v>
      </c>
      <c r="B108" s="33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1" t="s">
        <v>724</v>
      </c>
      <c r="C111" s="882" t="s">
        <v>725</v>
      </c>
      <c r="D111" s="818" t="s">
        <v>726</v>
      </c>
      <c r="E111" s="895">
        <v>0.2</v>
      </c>
      <c r="F111" s="882">
        <v>30</v>
      </c>
    </row>
    <row r="112" spans="1:6" s="878" customFormat="1" ht="24">
      <c r="A112" s="882">
        <v>52</v>
      </c>
      <c r="B112" s="3321"/>
      <c r="C112" s="882" t="s">
        <v>727</v>
      </c>
      <c r="D112" s="818" t="s">
        <v>728</v>
      </c>
      <c r="E112" s="895">
        <v>0.2</v>
      </c>
      <c r="F112" s="882">
        <v>30</v>
      </c>
    </row>
    <row r="113" spans="1:6" s="878" customFormat="1" ht="24">
      <c r="A113" s="882">
        <v>53</v>
      </c>
      <c r="B113" s="332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1" t="s">
        <v>737</v>
      </c>
      <c r="C116" s="882" t="s">
        <v>738</v>
      </c>
      <c r="D116" s="818" t="s">
        <v>739</v>
      </c>
      <c r="E116" s="895">
        <v>0.2</v>
      </c>
      <c r="F116" s="882">
        <v>30</v>
      </c>
    </row>
    <row r="117" spans="1:6" ht="36">
      <c r="A117" s="882">
        <v>57</v>
      </c>
      <c r="B117" s="332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64"/>
      <c r="B4" s="3007" t="s">
        <v>1626</v>
      </c>
      <c r="C4" s="3007"/>
      <c r="D4" s="3007"/>
      <c r="E4" s="1964"/>
    </row>
    <row r="5" spans="1:5" ht="16.5" thickTop="1">
      <c r="A5" s="1962"/>
      <c r="B5" s="3005" t="s">
        <v>1618</v>
      </c>
      <c r="C5" s="1965" t="s">
        <v>1619</v>
      </c>
      <c r="D5" s="1043">
        <f ca="1">结果表!H101</f>
        <v>18706</v>
      </c>
      <c r="E5" s="1962"/>
    </row>
    <row r="6" spans="1:5" ht="15.75">
      <c r="A6" s="1962"/>
      <c r="B6" s="3005"/>
      <c r="C6" s="1965" t="s">
        <v>1620</v>
      </c>
      <c r="D6" s="1043" t="str">
        <f ca="1">NUMBERSTRING(INT(D5*10000),2)&amp;"元整"</f>
        <v>壹亿捌仟柒佰零陆万元整</v>
      </c>
      <c r="E6" s="1962"/>
    </row>
    <row r="7" spans="1:5" ht="15.75">
      <c r="A7" s="1962"/>
      <c r="B7" s="3010"/>
      <c r="C7" s="1966" t="s">
        <v>1621</v>
      </c>
      <c r="D7" s="1044">
        <f ca="1">结果表!H102</f>
        <v>9148</v>
      </c>
      <c r="E7" s="1962"/>
    </row>
    <row r="8" spans="1:5" ht="15.75">
      <c r="A8" s="1962"/>
      <c r="B8" s="3011" t="str">
        <f>结果表!E103</f>
        <v>2.估价师知悉的法定优先受偿款</v>
      </c>
      <c r="C8" s="1967" t="s">
        <v>1622</v>
      </c>
      <c r="D8" s="1044">
        <f>结果表!H103</f>
        <v>0</v>
      </c>
      <c r="E8" s="1962"/>
    </row>
    <row r="9" spans="1:5" ht="15.75">
      <c r="A9" s="1962"/>
      <c r="B9" s="301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04" t="str">
        <f>结果表!E107</f>
        <v>3.房地产抵押价值</v>
      </c>
      <c r="C13" s="1970" t="s">
        <v>1619</v>
      </c>
      <c r="D13" s="1046">
        <f ca="1">结果表!H107</f>
        <v>18706</v>
      </c>
      <c r="E13" s="1962"/>
    </row>
    <row r="14" spans="1:5" ht="15.75">
      <c r="A14" s="1962"/>
      <c r="B14" s="3005"/>
      <c r="C14" s="1965" t="s">
        <v>1620</v>
      </c>
      <c r="D14" s="1043" t="str">
        <f ca="1">NUMBERSTRING(INT(D13*10000),2)&amp;"元整"</f>
        <v>壹亿捌仟柒佰零陆万元整</v>
      </c>
      <c r="E14" s="1962"/>
    </row>
    <row r="15" spans="1:5" ht="15">
      <c r="A15" s="1962"/>
      <c r="B15" s="3010"/>
      <c r="C15" s="1966" t="s">
        <v>1630</v>
      </c>
      <c r="D15" s="1055">
        <f ca="1">结果表!H108</f>
        <v>9148</v>
      </c>
      <c r="E15" s="1962"/>
    </row>
    <row r="16" spans="1:5" ht="15">
      <c r="A16" s="1962"/>
      <c r="B16" s="3011" t="str">
        <f>结果表!E109</f>
        <v>——</v>
      </c>
      <c r="C16" s="1970" t="s">
        <v>1631</v>
      </c>
      <c r="D16" s="1971" t="str">
        <f>结果表!H109</f>
        <v>——</v>
      </c>
      <c r="E16" s="1962"/>
    </row>
    <row r="17" spans="1:5" ht="15.75">
      <c r="A17" s="1962"/>
      <c r="B17" s="3012"/>
      <c r="C17" s="1965" t="s">
        <v>1632</v>
      </c>
      <c r="D17" s="1043" t="e">
        <f>NUMBERSTRING(INT(D16*10000),2)&amp;"元整"</f>
        <v>#VALUE!</v>
      </c>
      <c r="E17" s="1962"/>
    </row>
    <row r="18" spans="1:5" ht="15">
      <c r="A18" s="1962"/>
      <c r="B18" s="3013"/>
      <c r="C18" s="1966" t="s">
        <v>1621</v>
      </c>
      <c r="D18" s="1055" t="str">
        <f>结果表!H110</f>
        <v>——</v>
      </c>
      <c r="E18" s="1962"/>
    </row>
    <row r="19" spans="1:5" ht="15.75">
      <c r="A19" s="1962"/>
      <c r="B19" s="3004" t="str">
        <f>结果表!E111</f>
        <v>——</v>
      </c>
      <c r="C19" s="1970" t="s">
        <v>1619</v>
      </c>
      <c r="D19" s="1044" t="str">
        <f>结果表!H111</f>
        <v>——</v>
      </c>
      <c r="E19" s="1962"/>
    </row>
    <row r="20" spans="1:5" ht="15.75">
      <c r="A20" s="1962"/>
      <c r="B20" s="3005"/>
      <c r="C20" s="1965" t="s">
        <v>1632</v>
      </c>
      <c r="D20" s="1043" t="e">
        <f>NUMBERSTRING(INT(D19*10000),2)&amp;"元整"</f>
        <v>#VALUE!</v>
      </c>
      <c r="E20" s="1962"/>
    </row>
    <row r="21" spans="1:5" ht="15.75" thickBot="1">
      <c r="A21" s="1962"/>
      <c r="B21" s="300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t="e">
        <f ca="1">SUMIF(B6:B13,"&lt;&gt;#ref!",B6:B13)</f>
        <v>#DIV/0!</v>
      </c>
      <c r="C2" s="2915" t="s">
        <v>2996</v>
      </c>
      <c r="D2" s="2915" t="s">
        <v>2997</v>
      </c>
      <c r="E2" s="2916">
        <f ca="1">SUMIF(E6:E13,"&lt;&gt;#ref!",E6:E13)</f>
        <v>0</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0">
        <f ca="1">SUMIF(INDIRECT("'"&amp;A6&amp;"'"&amp;"!C:C"),"建筑面积",INDIRECT("'"&amp;A6&amp;"'"&amp;"!D:D"))</f>
        <v>0</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7" t="s">
        <v>1146</v>
      </c>
      <c r="C1" s="3327"/>
      <c r="D1" s="3327"/>
      <c r="E1" s="3327"/>
      <c r="F1" s="3327"/>
      <c r="G1" s="3323" t="s">
        <v>1147</v>
      </c>
      <c r="H1" s="3323"/>
      <c r="I1" s="3323"/>
      <c r="J1" s="3323"/>
      <c r="K1" s="3323"/>
      <c r="L1" s="3323"/>
      <c r="N1" s="3323" t="s">
        <v>1148</v>
      </c>
      <c r="O1" s="3323"/>
      <c r="P1" s="3323"/>
      <c r="Q1" s="3323"/>
      <c r="R1" s="1449"/>
      <c r="S1" s="3323" t="s">
        <v>1149</v>
      </c>
      <c r="T1" s="3323"/>
      <c r="U1" s="3323"/>
      <c r="V1" s="3323"/>
      <c r="X1" s="3322" t="s">
        <v>1150</v>
      </c>
      <c r="Y1" s="3323"/>
      <c r="Z1" s="3323"/>
      <c r="AA1" s="3323"/>
      <c r="AB1" s="3323"/>
      <c r="AD1" s="3322" t="s">
        <v>1151</v>
      </c>
      <c r="AE1" s="3323"/>
      <c r="AF1" s="3323"/>
      <c r="AG1" s="3323"/>
      <c r="AH1" s="332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25">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2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2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3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2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2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2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3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2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2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2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2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2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2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2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2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2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2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2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2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2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3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3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3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2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2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2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2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2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2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2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2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2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2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2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2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2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2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2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2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2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2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2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2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2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2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2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2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2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2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2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2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2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2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2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2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2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2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2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2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2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2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25">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26">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2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2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25">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2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abSelected="1" workbookViewId="0">
      <selection activeCell="E14" sqref="E14"/>
    </sheetView>
  </sheetViews>
  <sheetFormatPr defaultRowHeight="13.5"/>
  <cols>
    <col min="1" max="1" width="24.5" style="2961" customWidth="1"/>
    <col min="2" max="2" width="6.25" style="2961" customWidth="1"/>
    <col min="3" max="3" width="11.75" style="2961" customWidth="1"/>
    <col min="4" max="5" width="13.875" style="2961" customWidth="1"/>
    <col min="6" max="6" width="19.125" style="2961" customWidth="1"/>
    <col min="7" max="7" width="7.375" style="2961" customWidth="1"/>
    <col min="8" max="8" width="7.875" style="2961" customWidth="1"/>
    <col min="9" max="9" width="12.125" style="2961" customWidth="1"/>
    <col min="10" max="11" width="10.625" style="2961" customWidth="1"/>
    <col min="12" max="12" width="11.375" style="2961" customWidth="1"/>
    <col min="13" max="13" width="8" style="2961" customWidth="1"/>
    <col min="14" max="14" width="6.25" style="2961" customWidth="1"/>
    <col min="15" max="15" width="29.375" style="2961" customWidth="1"/>
    <col min="16" max="258" width="9" style="2961"/>
    <col min="259" max="259" width="24.5" style="2961" customWidth="1"/>
    <col min="260" max="260" width="6.25" style="2961" customWidth="1"/>
    <col min="261" max="261" width="11.75" style="2961" customWidth="1"/>
    <col min="262" max="263" width="13.875" style="2961" customWidth="1"/>
    <col min="264" max="264" width="19.1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29.375" style="2961" customWidth="1"/>
    <col min="272" max="514" width="9" style="2961"/>
    <col min="515" max="515" width="24.5" style="2961" customWidth="1"/>
    <col min="516" max="516" width="6.25" style="2961" customWidth="1"/>
    <col min="517" max="517" width="11.75" style="2961" customWidth="1"/>
    <col min="518" max="519" width="13.875" style="2961" customWidth="1"/>
    <col min="520" max="520" width="19.1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29.375" style="2961" customWidth="1"/>
    <col min="528" max="770" width="9" style="2961"/>
    <col min="771" max="771" width="24.5" style="2961" customWidth="1"/>
    <col min="772" max="772" width="6.25" style="2961" customWidth="1"/>
    <col min="773" max="773" width="11.75" style="2961" customWidth="1"/>
    <col min="774" max="775" width="13.875" style="2961" customWidth="1"/>
    <col min="776" max="776" width="19.1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29.375" style="2961" customWidth="1"/>
    <col min="784" max="1026" width="9" style="2961"/>
    <col min="1027" max="1027" width="24.5" style="2961" customWidth="1"/>
    <col min="1028" max="1028" width="6.25" style="2961" customWidth="1"/>
    <col min="1029" max="1029" width="11.75" style="2961" customWidth="1"/>
    <col min="1030" max="1031" width="13.875" style="2961" customWidth="1"/>
    <col min="1032" max="1032" width="19.1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29.375" style="2961" customWidth="1"/>
    <col min="1040" max="1282" width="9" style="2961"/>
    <col min="1283" max="1283" width="24.5" style="2961" customWidth="1"/>
    <col min="1284" max="1284" width="6.25" style="2961" customWidth="1"/>
    <col min="1285" max="1285" width="11.75" style="2961" customWidth="1"/>
    <col min="1286" max="1287" width="13.875" style="2961" customWidth="1"/>
    <col min="1288" max="1288" width="19.1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29.375" style="2961" customWidth="1"/>
    <col min="1296" max="1538" width="9" style="2961"/>
    <col min="1539" max="1539" width="24.5" style="2961" customWidth="1"/>
    <col min="1540" max="1540" width="6.25" style="2961" customWidth="1"/>
    <col min="1541" max="1541" width="11.75" style="2961" customWidth="1"/>
    <col min="1542" max="1543" width="13.875" style="2961" customWidth="1"/>
    <col min="1544" max="1544" width="19.1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29.375" style="2961" customWidth="1"/>
    <col min="1552" max="1794" width="9" style="2961"/>
    <col min="1795" max="1795" width="24.5" style="2961" customWidth="1"/>
    <col min="1796" max="1796" width="6.25" style="2961" customWidth="1"/>
    <col min="1797" max="1797" width="11.75" style="2961" customWidth="1"/>
    <col min="1798" max="1799" width="13.875" style="2961" customWidth="1"/>
    <col min="1800" max="1800" width="19.1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29.375" style="2961" customWidth="1"/>
    <col min="1808" max="2050" width="9" style="2961"/>
    <col min="2051" max="2051" width="24.5" style="2961" customWidth="1"/>
    <col min="2052" max="2052" width="6.25" style="2961" customWidth="1"/>
    <col min="2053" max="2053" width="11.75" style="2961" customWidth="1"/>
    <col min="2054" max="2055" width="13.875" style="2961" customWidth="1"/>
    <col min="2056" max="2056" width="19.1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29.375" style="2961" customWidth="1"/>
    <col min="2064" max="2306" width="9" style="2961"/>
    <col min="2307" max="2307" width="24.5" style="2961" customWidth="1"/>
    <col min="2308" max="2308" width="6.25" style="2961" customWidth="1"/>
    <col min="2309" max="2309" width="11.75" style="2961" customWidth="1"/>
    <col min="2310" max="2311" width="13.875" style="2961" customWidth="1"/>
    <col min="2312" max="2312" width="19.1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29.375" style="2961" customWidth="1"/>
    <col min="2320" max="2562" width="9" style="2961"/>
    <col min="2563" max="2563" width="24.5" style="2961" customWidth="1"/>
    <col min="2564" max="2564" width="6.25" style="2961" customWidth="1"/>
    <col min="2565" max="2565" width="11.75" style="2961" customWidth="1"/>
    <col min="2566" max="2567" width="13.875" style="2961" customWidth="1"/>
    <col min="2568" max="2568" width="19.1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29.375" style="2961" customWidth="1"/>
    <col min="2576" max="2818" width="9" style="2961"/>
    <col min="2819" max="2819" width="24.5" style="2961" customWidth="1"/>
    <col min="2820" max="2820" width="6.25" style="2961" customWidth="1"/>
    <col min="2821" max="2821" width="11.75" style="2961" customWidth="1"/>
    <col min="2822" max="2823" width="13.875" style="2961" customWidth="1"/>
    <col min="2824" max="2824" width="19.1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29.375" style="2961" customWidth="1"/>
    <col min="2832" max="3074" width="9" style="2961"/>
    <col min="3075" max="3075" width="24.5" style="2961" customWidth="1"/>
    <col min="3076" max="3076" width="6.25" style="2961" customWidth="1"/>
    <col min="3077" max="3077" width="11.75" style="2961" customWidth="1"/>
    <col min="3078" max="3079" width="13.875" style="2961" customWidth="1"/>
    <col min="3080" max="3080" width="19.1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29.375" style="2961" customWidth="1"/>
    <col min="3088" max="3330" width="9" style="2961"/>
    <col min="3331" max="3331" width="24.5" style="2961" customWidth="1"/>
    <col min="3332" max="3332" width="6.25" style="2961" customWidth="1"/>
    <col min="3333" max="3333" width="11.75" style="2961" customWidth="1"/>
    <col min="3334" max="3335" width="13.875" style="2961" customWidth="1"/>
    <col min="3336" max="3336" width="19.1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29.375" style="2961" customWidth="1"/>
    <col min="3344" max="3586" width="9" style="2961"/>
    <col min="3587" max="3587" width="24.5" style="2961" customWidth="1"/>
    <col min="3588" max="3588" width="6.25" style="2961" customWidth="1"/>
    <col min="3589" max="3589" width="11.75" style="2961" customWidth="1"/>
    <col min="3590" max="3591" width="13.875" style="2961" customWidth="1"/>
    <col min="3592" max="3592" width="19.1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29.375" style="2961" customWidth="1"/>
    <col min="3600" max="3842" width="9" style="2961"/>
    <col min="3843" max="3843" width="24.5" style="2961" customWidth="1"/>
    <col min="3844" max="3844" width="6.25" style="2961" customWidth="1"/>
    <col min="3845" max="3845" width="11.75" style="2961" customWidth="1"/>
    <col min="3846" max="3847" width="13.875" style="2961" customWidth="1"/>
    <col min="3848" max="3848" width="19.1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29.375" style="2961" customWidth="1"/>
    <col min="3856" max="4098" width="9" style="2961"/>
    <col min="4099" max="4099" width="24.5" style="2961" customWidth="1"/>
    <col min="4100" max="4100" width="6.25" style="2961" customWidth="1"/>
    <col min="4101" max="4101" width="11.75" style="2961" customWidth="1"/>
    <col min="4102" max="4103" width="13.875" style="2961" customWidth="1"/>
    <col min="4104" max="4104" width="19.1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29.375" style="2961" customWidth="1"/>
    <col min="4112" max="4354" width="9" style="2961"/>
    <col min="4355" max="4355" width="24.5" style="2961" customWidth="1"/>
    <col min="4356" max="4356" width="6.25" style="2961" customWidth="1"/>
    <col min="4357" max="4357" width="11.75" style="2961" customWidth="1"/>
    <col min="4358" max="4359" width="13.875" style="2961" customWidth="1"/>
    <col min="4360" max="4360" width="19.1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29.375" style="2961" customWidth="1"/>
    <col min="4368" max="4610" width="9" style="2961"/>
    <col min="4611" max="4611" width="24.5" style="2961" customWidth="1"/>
    <col min="4612" max="4612" width="6.25" style="2961" customWidth="1"/>
    <col min="4613" max="4613" width="11.75" style="2961" customWidth="1"/>
    <col min="4614" max="4615" width="13.875" style="2961" customWidth="1"/>
    <col min="4616" max="4616" width="19.1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29.375" style="2961" customWidth="1"/>
    <col min="4624" max="4866" width="9" style="2961"/>
    <col min="4867" max="4867" width="24.5" style="2961" customWidth="1"/>
    <col min="4868" max="4868" width="6.25" style="2961" customWidth="1"/>
    <col min="4869" max="4869" width="11.75" style="2961" customWidth="1"/>
    <col min="4870" max="4871" width="13.875" style="2961" customWidth="1"/>
    <col min="4872" max="4872" width="19.1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29.375" style="2961" customWidth="1"/>
    <col min="4880" max="5122" width="9" style="2961"/>
    <col min="5123" max="5123" width="24.5" style="2961" customWidth="1"/>
    <col min="5124" max="5124" width="6.25" style="2961" customWidth="1"/>
    <col min="5125" max="5125" width="11.75" style="2961" customWidth="1"/>
    <col min="5126" max="5127" width="13.875" style="2961" customWidth="1"/>
    <col min="5128" max="5128" width="19.1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29.375" style="2961" customWidth="1"/>
    <col min="5136" max="5378" width="9" style="2961"/>
    <col min="5379" max="5379" width="24.5" style="2961" customWidth="1"/>
    <col min="5380" max="5380" width="6.25" style="2961" customWidth="1"/>
    <col min="5381" max="5381" width="11.75" style="2961" customWidth="1"/>
    <col min="5382" max="5383" width="13.875" style="2961" customWidth="1"/>
    <col min="5384" max="5384" width="19.1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29.375" style="2961" customWidth="1"/>
    <col min="5392" max="5634" width="9" style="2961"/>
    <col min="5635" max="5635" width="24.5" style="2961" customWidth="1"/>
    <col min="5636" max="5636" width="6.25" style="2961" customWidth="1"/>
    <col min="5637" max="5637" width="11.75" style="2961" customWidth="1"/>
    <col min="5638" max="5639" width="13.875" style="2961" customWidth="1"/>
    <col min="5640" max="5640" width="19.1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29.375" style="2961" customWidth="1"/>
    <col min="5648" max="5890" width="9" style="2961"/>
    <col min="5891" max="5891" width="24.5" style="2961" customWidth="1"/>
    <col min="5892" max="5892" width="6.25" style="2961" customWidth="1"/>
    <col min="5893" max="5893" width="11.75" style="2961" customWidth="1"/>
    <col min="5894" max="5895" width="13.875" style="2961" customWidth="1"/>
    <col min="5896" max="5896" width="19.1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29.375" style="2961" customWidth="1"/>
    <col min="5904" max="6146" width="9" style="2961"/>
    <col min="6147" max="6147" width="24.5" style="2961" customWidth="1"/>
    <col min="6148" max="6148" width="6.25" style="2961" customWidth="1"/>
    <col min="6149" max="6149" width="11.75" style="2961" customWidth="1"/>
    <col min="6150" max="6151" width="13.875" style="2961" customWidth="1"/>
    <col min="6152" max="6152" width="19.1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29.375" style="2961" customWidth="1"/>
    <col min="6160" max="6402" width="9" style="2961"/>
    <col min="6403" max="6403" width="24.5" style="2961" customWidth="1"/>
    <col min="6404" max="6404" width="6.25" style="2961" customWidth="1"/>
    <col min="6405" max="6405" width="11.75" style="2961" customWidth="1"/>
    <col min="6406" max="6407" width="13.875" style="2961" customWidth="1"/>
    <col min="6408" max="6408" width="19.1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29.375" style="2961" customWidth="1"/>
    <col min="6416" max="6658" width="9" style="2961"/>
    <col min="6659" max="6659" width="24.5" style="2961" customWidth="1"/>
    <col min="6660" max="6660" width="6.25" style="2961" customWidth="1"/>
    <col min="6661" max="6661" width="11.75" style="2961" customWidth="1"/>
    <col min="6662" max="6663" width="13.875" style="2961" customWidth="1"/>
    <col min="6664" max="6664" width="19.1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29.375" style="2961" customWidth="1"/>
    <col min="6672" max="6914" width="9" style="2961"/>
    <col min="6915" max="6915" width="24.5" style="2961" customWidth="1"/>
    <col min="6916" max="6916" width="6.25" style="2961" customWidth="1"/>
    <col min="6917" max="6917" width="11.75" style="2961" customWidth="1"/>
    <col min="6918" max="6919" width="13.875" style="2961" customWidth="1"/>
    <col min="6920" max="6920" width="19.1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29.375" style="2961" customWidth="1"/>
    <col min="6928" max="7170" width="9" style="2961"/>
    <col min="7171" max="7171" width="24.5" style="2961" customWidth="1"/>
    <col min="7172" max="7172" width="6.25" style="2961" customWidth="1"/>
    <col min="7173" max="7173" width="11.75" style="2961" customWidth="1"/>
    <col min="7174" max="7175" width="13.875" style="2961" customWidth="1"/>
    <col min="7176" max="7176" width="19.1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29.375" style="2961" customWidth="1"/>
    <col min="7184" max="7426" width="9" style="2961"/>
    <col min="7427" max="7427" width="24.5" style="2961" customWidth="1"/>
    <col min="7428" max="7428" width="6.25" style="2961" customWidth="1"/>
    <col min="7429" max="7429" width="11.75" style="2961" customWidth="1"/>
    <col min="7430" max="7431" width="13.875" style="2961" customWidth="1"/>
    <col min="7432" max="7432" width="19.1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29.375" style="2961" customWidth="1"/>
    <col min="7440" max="7682" width="9" style="2961"/>
    <col min="7683" max="7683" width="24.5" style="2961" customWidth="1"/>
    <col min="7684" max="7684" width="6.25" style="2961" customWidth="1"/>
    <col min="7685" max="7685" width="11.75" style="2961" customWidth="1"/>
    <col min="7686" max="7687" width="13.875" style="2961" customWidth="1"/>
    <col min="7688" max="7688" width="19.1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29.375" style="2961" customWidth="1"/>
    <col min="7696" max="7938" width="9" style="2961"/>
    <col min="7939" max="7939" width="24.5" style="2961" customWidth="1"/>
    <col min="7940" max="7940" width="6.25" style="2961" customWidth="1"/>
    <col min="7941" max="7941" width="11.75" style="2961" customWidth="1"/>
    <col min="7942" max="7943" width="13.875" style="2961" customWidth="1"/>
    <col min="7944" max="7944" width="19.1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29.375" style="2961" customWidth="1"/>
    <col min="7952" max="8194" width="9" style="2961"/>
    <col min="8195" max="8195" width="24.5" style="2961" customWidth="1"/>
    <col min="8196" max="8196" width="6.25" style="2961" customWidth="1"/>
    <col min="8197" max="8197" width="11.75" style="2961" customWidth="1"/>
    <col min="8198" max="8199" width="13.875" style="2961" customWidth="1"/>
    <col min="8200" max="8200" width="19.1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29.375" style="2961" customWidth="1"/>
    <col min="8208" max="8450" width="9" style="2961"/>
    <col min="8451" max="8451" width="24.5" style="2961" customWidth="1"/>
    <col min="8452" max="8452" width="6.25" style="2961" customWidth="1"/>
    <col min="8453" max="8453" width="11.75" style="2961" customWidth="1"/>
    <col min="8454" max="8455" width="13.875" style="2961" customWidth="1"/>
    <col min="8456" max="8456" width="19.1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29.375" style="2961" customWidth="1"/>
    <col min="8464" max="8706" width="9" style="2961"/>
    <col min="8707" max="8707" width="24.5" style="2961" customWidth="1"/>
    <col min="8708" max="8708" width="6.25" style="2961" customWidth="1"/>
    <col min="8709" max="8709" width="11.75" style="2961" customWidth="1"/>
    <col min="8710" max="8711" width="13.875" style="2961" customWidth="1"/>
    <col min="8712" max="8712" width="19.1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29.375" style="2961" customWidth="1"/>
    <col min="8720" max="8962" width="9" style="2961"/>
    <col min="8963" max="8963" width="24.5" style="2961" customWidth="1"/>
    <col min="8964" max="8964" width="6.25" style="2961" customWidth="1"/>
    <col min="8965" max="8965" width="11.75" style="2961" customWidth="1"/>
    <col min="8966" max="8967" width="13.875" style="2961" customWidth="1"/>
    <col min="8968" max="8968" width="19.1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29.375" style="2961" customWidth="1"/>
    <col min="8976" max="9218" width="9" style="2961"/>
    <col min="9219" max="9219" width="24.5" style="2961" customWidth="1"/>
    <col min="9220" max="9220" width="6.25" style="2961" customWidth="1"/>
    <col min="9221" max="9221" width="11.75" style="2961" customWidth="1"/>
    <col min="9222" max="9223" width="13.875" style="2961" customWidth="1"/>
    <col min="9224" max="9224" width="19.1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29.375" style="2961" customWidth="1"/>
    <col min="9232" max="9474" width="9" style="2961"/>
    <col min="9475" max="9475" width="24.5" style="2961" customWidth="1"/>
    <col min="9476" max="9476" width="6.25" style="2961" customWidth="1"/>
    <col min="9477" max="9477" width="11.75" style="2961" customWidth="1"/>
    <col min="9478" max="9479" width="13.875" style="2961" customWidth="1"/>
    <col min="9480" max="9480" width="19.1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29.375" style="2961" customWidth="1"/>
    <col min="9488" max="9730" width="9" style="2961"/>
    <col min="9731" max="9731" width="24.5" style="2961" customWidth="1"/>
    <col min="9732" max="9732" width="6.25" style="2961" customWidth="1"/>
    <col min="9733" max="9733" width="11.75" style="2961" customWidth="1"/>
    <col min="9734" max="9735" width="13.875" style="2961" customWidth="1"/>
    <col min="9736" max="9736" width="19.1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29.375" style="2961" customWidth="1"/>
    <col min="9744" max="9986" width="9" style="2961"/>
    <col min="9987" max="9987" width="24.5" style="2961" customWidth="1"/>
    <col min="9988" max="9988" width="6.25" style="2961" customWidth="1"/>
    <col min="9989" max="9989" width="11.75" style="2961" customWidth="1"/>
    <col min="9990" max="9991" width="13.875" style="2961" customWidth="1"/>
    <col min="9992" max="9992" width="19.1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29.375" style="2961" customWidth="1"/>
    <col min="10000" max="10242" width="9" style="2961"/>
    <col min="10243" max="10243" width="24.5" style="2961" customWidth="1"/>
    <col min="10244" max="10244" width="6.25" style="2961" customWidth="1"/>
    <col min="10245" max="10245" width="11.75" style="2961" customWidth="1"/>
    <col min="10246" max="10247" width="13.875" style="2961" customWidth="1"/>
    <col min="10248" max="10248" width="19.1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29.375" style="2961" customWidth="1"/>
    <col min="10256" max="10498" width="9" style="2961"/>
    <col min="10499" max="10499" width="24.5" style="2961" customWidth="1"/>
    <col min="10500" max="10500" width="6.25" style="2961" customWidth="1"/>
    <col min="10501" max="10501" width="11.75" style="2961" customWidth="1"/>
    <col min="10502" max="10503" width="13.875" style="2961" customWidth="1"/>
    <col min="10504" max="10504" width="19.1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29.375" style="2961" customWidth="1"/>
    <col min="10512" max="10754" width="9" style="2961"/>
    <col min="10755" max="10755" width="24.5" style="2961" customWidth="1"/>
    <col min="10756" max="10756" width="6.25" style="2961" customWidth="1"/>
    <col min="10757" max="10757" width="11.75" style="2961" customWidth="1"/>
    <col min="10758" max="10759" width="13.875" style="2961" customWidth="1"/>
    <col min="10760" max="10760" width="19.1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29.375" style="2961" customWidth="1"/>
    <col min="10768" max="11010" width="9" style="2961"/>
    <col min="11011" max="11011" width="24.5" style="2961" customWidth="1"/>
    <col min="11012" max="11012" width="6.25" style="2961" customWidth="1"/>
    <col min="11013" max="11013" width="11.75" style="2961" customWidth="1"/>
    <col min="11014" max="11015" width="13.875" style="2961" customWidth="1"/>
    <col min="11016" max="11016" width="19.1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29.375" style="2961" customWidth="1"/>
    <col min="11024" max="11266" width="9" style="2961"/>
    <col min="11267" max="11267" width="24.5" style="2961" customWidth="1"/>
    <col min="11268" max="11268" width="6.25" style="2961" customWidth="1"/>
    <col min="11269" max="11269" width="11.75" style="2961" customWidth="1"/>
    <col min="11270" max="11271" width="13.875" style="2961" customWidth="1"/>
    <col min="11272" max="11272" width="19.1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29.375" style="2961" customWidth="1"/>
    <col min="11280" max="11522" width="9" style="2961"/>
    <col min="11523" max="11523" width="24.5" style="2961" customWidth="1"/>
    <col min="11524" max="11524" width="6.25" style="2961" customWidth="1"/>
    <col min="11525" max="11525" width="11.75" style="2961" customWidth="1"/>
    <col min="11526" max="11527" width="13.875" style="2961" customWidth="1"/>
    <col min="11528" max="11528" width="19.1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29.375" style="2961" customWidth="1"/>
    <col min="11536" max="11778" width="9" style="2961"/>
    <col min="11779" max="11779" width="24.5" style="2961" customWidth="1"/>
    <col min="11780" max="11780" width="6.25" style="2961" customWidth="1"/>
    <col min="11781" max="11781" width="11.75" style="2961" customWidth="1"/>
    <col min="11782" max="11783" width="13.875" style="2961" customWidth="1"/>
    <col min="11784" max="11784" width="19.1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29.375" style="2961" customWidth="1"/>
    <col min="11792" max="12034" width="9" style="2961"/>
    <col min="12035" max="12035" width="24.5" style="2961" customWidth="1"/>
    <col min="12036" max="12036" width="6.25" style="2961" customWidth="1"/>
    <col min="12037" max="12037" width="11.75" style="2961" customWidth="1"/>
    <col min="12038" max="12039" width="13.875" style="2961" customWidth="1"/>
    <col min="12040" max="12040" width="19.1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29.375" style="2961" customWidth="1"/>
    <col min="12048" max="12290" width="9" style="2961"/>
    <col min="12291" max="12291" width="24.5" style="2961" customWidth="1"/>
    <col min="12292" max="12292" width="6.25" style="2961" customWidth="1"/>
    <col min="12293" max="12293" width="11.75" style="2961" customWidth="1"/>
    <col min="12294" max="12295" width="13.875" style="2961" customWidth="1"/>
    <col min="12296" max="12296" width="19.1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29.375" style="2961" customWidth="1"/>
    <col min="12304" max="12546" width="9" style="2961"/>
    <col min="12547" max="12547" width="24.5" style="2961" customWidth="1"/>
    <col min="12548" max="12548" width="6.25" style="2961" customWidth="1"/>
    <col min="12549" max="12549" width="11.75" style="2961" customWidth="1"/>
    <col min="12550" max="12551" width="13.875" style="2961" customWidth="1"/>
    <col min="12552" max="12552" width="19.1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29.375" style="2961" customWidth="1"/>
    <col min="12560" max="12802" width="9" style="2961"/>
    <col min="12803" max="12803" width="24.5" style="2961" customWidth="1"/>
    <col min="12804" max="12804" width="6.25" style="2961" customWidth="1"/>
    <col min="12805" max="12805" width="11.75" style="2961" customWidth="1"/>
    <col min="12806" max="12807" width="13.875" style="2961" customWidth="1"/>
    <col min="12808" max="12808" width="19.1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29.375" style="2961" customWidth="1"/>
    <col min="12816" max="13058" width="9" style="2961"/>
    <col min="13059" max="13059" width="24.5" style="2961" customWidth="1"/>
    <col min="13060" max="13060" width="6.25" style="2961" customWidth="1"/>
    <col min="13061" max="13061" width="11.75" style="2961" customWidth="1"/>
    <col min="13062" max="13063" width="13.875" style="2961" customWidth="1"/>
    <col min="13064" max="13064" width="19.1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29.375" style="2961" customWidth="1"/>
    <col min="13072" max="13314" width="9" style="2961"/>
    <col min="13315" max="13315" width="24.5" style="2961" customWidth="1"/>
    <col min="13316" max="13316" width="6.25" style="2961" customWidth="1"/>
    <col min="13317" max="13317" width="11.75" style="2961" customWidth="1"/>
    <col min="13318" max="13319" width="13.875" style="2961" customWidth="1"/>
    <col min="13320" max="13320" width="19.1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29.375" style="2961" customWidth="1"/>
    <col min="13328" max="13570" width="9" style="2961"/>
    <col min="13571" max="13571" width="24.5" style="2961" customWidth="1"/>
    <col min="13572" max="13572" width="6.25" style="2961" customWidth="1"/>
    <col min="13573" max="13573" width="11.75" style="2961" customWidth="1"/>
    <col min="13574" max="13575" width="13.875" style="2961" customWidth="1"/>
    <col min="13576" max="13576" width="19.1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29.375" style="2961" customWidth="1"/>
    <col min="13584" max="13826" width="9" style="2961"/>
    <col min="13827" max="13827" width="24.5" style="2961" customWidth="1"/>
    <col min="13828" max="13828" width="6.25" style="2961" customWidth="1"/>
    <col min="13829" max="13829" width="11.75" style="2961" customWidth="1"/>
    <col min="13830" max="13831" width="13.875" style="2961" customWidth="1"/>
    <col min="13832" max="13832" width="19.1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29.375" style="2961" customWidth="1"/>
    <col min="13840" max="14082" width="9" style="2961"/>
    <col min="14083" max="14083" width="24.5" style="2961" customWidth="1"/>
    <col min="14084" max="14084" width="6.25" style="2961" customWidth="1"/>
    <col min="14085" max="14085" width="11.75" style="2961" customWidth="1"/>
    <col min="14086" max="14087" width="13.875" style="2961" customWidth="1"/>
    <col min="14088" max="14088" width="19.1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29.375" style="2961" customWidth="1"/>
    <col min="14096" max="14338" width="9" style="2961"/>
    <col min="14339" max="14339" width="24.5" style="2961" customWidth="1"/>
    <col min="14340" max="14340" width="6.25" style="2961" customWidth="1"/>
    <col min="14341" max="14341" width="11.75" style="2961" customWidth="1"/>
    <col min="14342" max="14343" width="13.875" style="2961" customWidth="1"/>
    <col min="14344" max="14344" width="19.1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29.375" style="2961" customWidth="1"/>
    <col min="14352" max="14594" width="9" style="2961"/>
    <col min="14595" max="14595" width="24.5" style="2961" customWidth="1"/>
    <col min="14596" max="14596" width="6.25" style="2961" customWidth="1"/>
    <col min="14597" max="14597" width="11.75" style="2961" customWidth="1"/>
    <col min="14598" max="14599" width="13.875" style="2961" customWidth="1"/>
    <col min="14600" max="14600" width="19.1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29.375" style="2961" customWidth="1"/>
    <col min="14608" max="14850" width="9" style="2961"/>
    <col min="14851" max="14851" width="24.5" style="2961" customWidth="1"/>
    <col min="14852" max="14852" width="6.25" style="2961" customWidth="1"/>
    <col min="14853" max="14853" width="11.75" style="2961" customWidth="1"/>
    <col min="14854" max="14855" width="13.875" style="2961" customWidth="1"/>
    <col min="14856" max="14856" width="19.1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29.375" style="2961" customWidth="1"/>
    <col min="14864" max="15106" width="9" style="2961"/>
    <col min="15107" max="15107" width="24.5" style="2961" customWidth="1"/>
    <col min="15108" max="15108" width="6.25" style="2961" customWidth="1"/>
    <col min="15109" max="15109" width="11.75" style="2961" customWidth="1"/>
    <col min="15110" max="15111" width="13.875" style="2961" customWidth="1"/>
    <col min="15112" max="15112" width="19.1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29.375" style="2961" customWidth="1"/>
    <col min="15120" max="15362" width="9" style="2961"/>
    <col min="15363" max="15363" width="24.5" style="2961" customWidth="1"/>
    <col min="15364" max="15364" width="6.25" style="2961" customWidth="1"/>
    <col min="15365" max="15365" width="11.75" style="2961" customWidth="1"/>
    <col min="15366" max="15367" width="13.875" style="2961" customWidth="1"/>
    <col min="15368" max="15368" width="19.1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29.375" style="2961" customWidth="1"/>
    <col min="15376" max="15618" width="9" style="2961"/>
    <col min="15619" max="15619" width="24.5" style="2961" customWidth="1"/>
    <col min="15620" max="15620" width="6.25" style="2961" customWidth="1"/>
    <col min="15621" max="15621" width="11.75" style="2961" customWidth="1"/>
    <col min="15622" max="15623" width="13.875" style="2961" customWidth="1"/>
    <col min="15624" max="15624" width="19.1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29.375" style="2961" customWidth="1"/>
    <col min="15632" max="15874" width="9" style="2961"/>
    <col min="15875" max="15875" width="24.5" style="2961" customWidth="1"/>
    <col min="15876" max="15876" width="6.25" style="2961" customWidth="1"/>
    <col min="15877" max="15877" width="11.75" style="2961" customWidth="1"/>
    <col min="15878" max="15879" width="13.875" style="2961" customWidth="1"/>
    <col min="15880" max="15880" width="19.1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29.375" style="2961" customWidth="1"/>
    <col min="15888" max="16130" width="9" style="2961"/>
    <col min="16131" max="16131" width="24.5" style="2961" customWidth="1"/>
    <col min="16132" max="16132" width="6.25" style="2961" customWidth="1"/>
    <col min="16133" max="16133" width="11.75" style="2961" customWidth="1"/>
    <col min="16134" max="16135" width="13.875" style="2961" customWidth="1"/>
    <col min="16136" max="16136" width="19.1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29.375" style="2961" customWidth="1"/>
    <col min="16144" max="16384" width="9" style="2961"/>
  </cols>
  <sheetData>
    <row r="1" spans="1:15" ht="27">
      <c r="A1" s="2961" t="s">
        <v>3303</v>
      </c>
      <c r="B1" s="2961" t="s">
        <v>3304</v>
      </c>
      <c r="C1" s="2961" t="s">
        <v>3305</v>
      </c>
      <c r="D1" s="2961" t="s">
        <v>3306</v>
      </c>
      <c r="E1" s="2961" t="s">
        <v>3307</v>
      </c>
      <c r="F1" s="2961" t="s">
        <v>3308</v>
      </c>
      <c r="H1" s="2961" t="s">
        <v>3309</v>
      </c>
      <c r="I1" s="2961" t="s">
        <v>3310</v>
      </c>
      <c r="J1" s="2961" t="s">
        <v>3311</v>
      </c>
      <c r="K1" s="2961" t="s">
        <v>3312</v>
      </c>
      <c r="L1" s="2961" t="s">
        <v>3313</v>
      </c>
      <c r="M1" s="2962" t="s">
        <v>3314</v>
      </c>
      <c r="N1" s="2961" t="s">
        <v>3315</v>
      </c>
      <c r="O1" s="2961" t="s">
        <v>3316</v>
      </c>
    </row>
    <row r="2" spans="1:15" s="2966" customFormat="1" ht="27">
      <c r="A2" s="2966" t="s">
        <v>3317</v>
      </c>
      <c r="B2" s="2966" t="s">
        <v>3318</v>
      </c>
      <c r="C2" s="2966" t="s">
        <v>3319</v>
      </c>
      <c r="D2" s="2966">
        <v>15112</v>
      </c>
      <c r="E2" s="2966">
        <v>45336</v>
      </c>
      <c r="F2" s="2966" t="s">
        <v>3320</v>
      </c>
      <c r="G2" s="2966">
        <f>E2/D2</f>
        <v>3</v>
      </c>
      <c r="H2" s="2966" t="s">
        <v>3321</v>
      </c>
      <c r="I2" s="2966" t="s">
        <v>3322</v>
      </c>
      <c r="J2" s="2966">
        <v>3246.05</v>
      </c>
      <c r="K2" s="2966">
        <v>3246.05</v>
      </c>
      <c r="L2" s="2966">
        <v>716</v>
      </c>
      <c r="M2" s="2966">
        <f>ROUND(K2/D2*10000,0)</f>
        <v>2148</v>
      </c>
      <c r="N2" s="2966">
        <v>0</v>
      </c>
      <c r="O2" s="2966" t="s">
        <v>3323</v>
      </c>
    </row>
    <row r="3" spans="1:15" s="2963" customFormat="1" ht="27">
      <c r="A3" s="2963" t="s">
        <v>3354</v>
      </c>
      <c r="B3" s="2963" t="s">
        <v>3318</v>
      </c>
      <c r="C3" s="2963" t="s">
        <v>3319</v>
      </c>
      <c r="D3" s="2963">
        <v>86557</v>
      </c>
      <c r="E3" s="2963">
        <v>138491.20000000001</v>
      </c>
      <c r="F3" s="2963" t="s">
        <v>3324</v>
      </c>
      <c r="G3" s="2963">
        <f t="shared" ref="G3:G9" si="0">E3/D3</f>
        <v>1.6</v>
      </c>
      <c r="H3" s="2963" t="s">
        <v>3321</v>
      </c>
      <c r="I3" s="2963" t="s">
        <v>3325</v>
      </c>
      <c r="J3" s="2963">
        <v>8794.19</v>
      </c>
      <c r="K3" s="2963">
        <v>8794.19</v>
      </c>
      <c r="L3" s="2963">
        <v>635</v>
      </c>
      <c r="M3" s="2963">
        <f t="shared" ref="M3:M9" si="1">ROUND(K3/D3*10000,0)</f>
        <v>1016</v>
      </c>
      <c r="N3" s="2963">
        <v>0</v>
      </c>
      <c r="O3" s="2963" t="s">
        <v>3326</v>
      </c>
    </row>
    <row r="4" spans="1:15" s="2966" customFormat="1" ht="27">
      <c r="A4" s="2966" t="s">
        <v>3327</v>
      </c>
      <c r="B4" s="2966" t="s">
        <v>3318</v>
      </c>
      <c r="C4" s="2966" t="s">
        <v>3319</v>
      </c>
      <c r="D4" s="2966">
        <v>16688</v>
      </c>
      <c r="E4" s="2966">
        <v>45057.599999999999</v>
      </c>
      <c r="F4" s="2966" t="s">
        <v>3328</v>
      </c>
      <c r="G4" s="2966">
        <f t="shared" si="0"/>
        <v>2.6999999999999997</v>
      </c>
      <c r="H4" s="2966" t="s">
        <v>3321</v>
      </c>
      <c r="I4" s="2966" t="s">
        <v>3329</v>
      </c>
      <c r="J4" s="2966">
        <v>2703.46</v>
      </c>
      <c r="K4" s="2966">
        <v>2703.46</v>
      </c>
      <c r="L4" s="2966">
        <v>600</v>
      </c>
      <c r="M4" s="2966">
        <f t="shared" si="1"/>
        <v>1620</v>
      </c>
      <c r="N4" s="2966">
        <v>0</v>
      </c>
      <c r="O4" s="2966" t="s">
        <v>3330</v>
      </c>
    </row>
    <row r="5" spans="1:15" s="2966" customFormat="1" ht="27">
      <c r="A5" s="2966" t="s">
        <v>3331</v>
      </c>
      <c r="B5" s="2966" t="s">
        <v>3318</v>
      </c>
      <c r="C5" s="2966" t="s">
        <v>3319</v>
      </c>
      <c r="D5" s="2966">
        <v>29583</v>
      </c>
      <c r="E5" s="2966">
        <v>91707.3</v>
      </c>
      <c r="F5" s="2966" t="s">
        <v>3332</v>
      </c>
      <c r="G5" s="2966">
        <f t="shared" si="0"/>
        <v>3.1</v>
      </c>
      <c r="H5" s="2966" t="s">
        <v>3321</v>
      </c>
      <c r="I5" s="2966" t="s">
        <v>3333</v>
      </c>
      <c r="J5" s="2966">
        <v>5502.43</v>
      </c>
      <c r="K5" s="2966">
        <v>5502.43</v>
      </c>
      <c r="L5" s="2966">
        <v>600</v>
      </c>
      <c r="M5" s="2966">
        <f t="shared" si="1"/>
        <v>1860</v>
      </c>
      <c r="N5" s="2966">
        <v>0</v>
      </c>
      <c r="O5" s="2966" t="s">
        <v>3334</v>
      </c>
    </row>
    <row r="6" spans="1:15" ht="27">
      <c r="A6" s="2962" t="s">
        <v>3335</v>
      </c>
      <c r="B6" s="2961" t="s">
        <v>3318</v>
      </c>
      <c r="C6" s="2961" t="s">
        <v>3319</v>
      </c>
      <c r="D6" s="2961">
        <v>49832</v>
      </c>
      <c r="E6" s="2961">
        <v>59798.400000000001</v>
      </c>
      <c r="F6" s="2961" t="s">
        <v>3336</v>
      </c>
      <c r="G6" s="2961">
        <f t="shared" si="0"/>
        <v>1.2</v>
      </c>
      <c r="H6" s="2961" t="s">
        <v>3321</v>
      </c>
      <c r="I6" s="2961" t="s">
        <v>3337</v>
      </c>
      <c r="J6" s="2961">
        <v>6229</v>
      </c>
      <c r="K6" s="2961">
        <v>7474.8</v>
      </c>
      <c r="L6" s="2961">
        <v>1250</v>
      </c>
      <c r="M6" s="2961">
        <f t="shared" si="1"/>
        <v>1500</v>
      </c>
      <c r="N6" s="2961">
        <v>20</v>
      </c>
      <c r="O6" s="2961" t="s">
        <v>3338</v>
      </c>
    </row>
    <row r="7" spans="1:15" ht="27">
      <c r="A7" s="2961" t="s">
        <v>3339</v>
      </c>
      <c r="B7" s="2961" t="s">
        <v>3318</v>
      </c>
      <c r="C7" s="2961" t="s">
        <v>3319</v>
      </c>
      <c r="D7" s="2961">
        <v>5064</v>
      </c>
      <c r="E7" s="2961">
        <v>8102.4</v>
      </c>
      <c r="F7" s="2961" t="s">
        <v>3340</v>
      </c>
      <c r="G7" s="2961">
        <f t="shared" si="0"/>
        <v>1.5999999999999999</v>
      </c>
      <c r="H7" s="2961" t="s">
        <v>3321</v>
      </c>
      <c r="I7" s="2961" t="s">
        <v>3341</v>
      </c>
      <c r="J7" s="2961">
        <v>1239.67</v>
      </c>
      <c r="K7" s="2961">
        <v>1239.67</v>
      </c>
      <c r="L7" s="2961">
        <v>1530</v>
      </c>
      <c r="M7" s="2961">
        <f t="shared" si="1"/>
        <v>2448</v>
      </c>
      <c r="N7" s="2961">
        <v>0</v>
      </c>
      <c r="O7" s="2961" t="s">
        <v>3342</v>
      </c>
    </row>
    <row r="8" spans="1:15" ht="27">
      <c r="A8" s="2962" t="s">
        <v>3343</v>
      </c>
      <c r="B8" s="2961" t="s">
        <v>3318</v>
      </c>
      <c r="C8" s="2961" t="s">
        <v>3319</v>
      </c>
      <c r="D8" s="2961">
        <v>23915.8</v>
      </c>
      <c r="E8" s="2961">
        <v>66964.240000000005</v>
      </c>
      <c r="F8" s="2961" t="s">
        <v>3344</v>
      </c>
      <c r="G8" s="2961">
        <f t="shared" si="0"/>
        <v>2.8000000000000003</v>
      </c>
      <c r="H8" s="2961" t="s">
        <v>3321</v>
      </c>
      <c r="I8" s="2961" t="s">
        <v>3345</v>
      </c>
      <c r="J8" s="2961">
        <v>4017.84</v>
      </c>
      <c r="K8" s="2961">
        <v>4017.84</v>
      </c>
      <c r="L8" s="2961">
        <v>600</v>
      </c>
      <c r="M8" s="2961">
        <f t="shared" si="1"/>
        <v>1680</v>
      </c>
      <c r="N8" s="2961">
        <v>0</v>
      </c>
      <c r="O8" s="2961" t="s">
        <v>3346</v>
      </c>
    </row>
    <row r="9" spans="1:15" ht="27">
      <c r="A9" s="2961" t="s">
        <v>3347</v>
      </c>
      <c r="B9" s="2961" t="s">
        <v>3318</v>
      </c>
      <c r="C9" s="2961" t="s">
        <v>3319</v>
      </c>
      <c r="D9" s="2961">
        <v>91834.7</v>
      </c>
      <c r="E9" s="2961">
        <v>119385.1</v>
      </c>
      <c r="F9" s="2961" t="s">
        <v>3348</v>
      </c>
      <c r="G9" s="2961">
        <f t="shared" si="0"/>
        <v>1.2999998911086987</v>
      </c>
      <c r="H9" s="2961" t="s">
        <v>3321</v>
      </c>
      <c r="I9" s="2961" t="s">
        <v>3349</v>
      </c>
      <c r="J9" s="2961">
        <v>6984.02</v>
      </c>
      <c r="K9" s="2961">
        <v>6984.02</v>
      </c>
      <c r="L9" s="2961">
        <v>585</v>
      </c>
      <c r="M9" s="2961">
        <f t="shared" si="1"/>
        <v>760</v>
      </c>
      <c r="N9" s="2961">
        <v>0</v>
      </c>
      <c r="O9" s="2961" t="s">
        <v>3350</v>
      </c>
    </row>
    <row r="23" spans="5:6">
      <c r="E23" s="3333">
        <f>[1]系统读取表!B5*10000</f>
        <v>283390000</v>
      </c>
      <c r="F23" s="3333"/>
    </row>
  </sheetData>
  <mergeCells count="1">
    <mergeCell ref="E23:F2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35" t="s">
        <v>3006</v>
      </c>
      <c r="D1" s="3336"/>
      <c r="E1" s="3336"/>
      <c r="F1" s="3336"/>
      <c r="G1" s="3336"/>
      <c r="H1" s="3336"/>
      <c r="I1" s="3336"/>
      <c r="J1" s="3336"/>
      <c r="K1" s="3336"/>
      <c r="L1" s="3336"/>
      <c r="M1" s="3336"/>
      <c r="N1" s="3336"/>
      <c r="O1" s="3336"/>
      <c r="P1" s="3336"/>
      <c r="Q1" s="3336"/>
      <c r="R1" s="3336"/>
      <c r="S1" s="333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16" t="s">
        <v>33</v>
      </c>
      <c r="D22" s="3117"/>
      <c r="E22" s="3117"/>
      <c r="F22" s="3117"/>
      <c r="G22" s="3117"/>
      <c r="H22" s="3117"/>
      <c r="I22" s="3117"/>
      <c r="J22" s="3117"/>
      <c r="K22" s="3117"/>
      <c r="L22" s="3117"/>
      <c r="M22" s="3117"/>
      <c r="N22" s="3117"/>
      <c r="O22" s="3117"/>
      <c r="P22" s="3117"/>
      <c r="Q22" s="333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39140</v>
      </c>
      <c r="C2" s="2" t="s">
        <v>133</v>
      </c>
      <c r="D2" s="243"/>
      <c r="E2" s="243"/>
      <c r="F2" s="243"/>
      <c r="G2" s="243"/>
    </row>
    <row r="3" spans="1:7" s="244" customFormat="1" ht="18" customHeight="1" thickBot="1">
      <c r="A3" s="247" t="s">
        <v>85</v>
      </c>
      <c r="B3" s="248">
        <f ca="1">ROUND(B2*10000/'数据-汇总表'!E3,0)</f>
        <v>19142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286</v>
      </c>
      <c r="D10" s="1035">
        <f>'数据-汇总表'!E6</f>
        <v>20447.539999999961</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368</v>
      </c>
      <c r="D19" s="1039">
        <f>'数据-汇总表'!E3</f>
        <v>20447.539999999961</v>
      </c>
      <c r="E19" s="255">
        <f>'数据-取费表'!B31</f>
        <v>180</v>
      </c>
      <c r="F19" s="275"/>
      <c r="G19" s="1" t="s">
        <v>1071</v>
      </c>
    </row>
    <row r="20" spans="1:7" s="258" customFormat="1" ht="13.5" customHeight="1">
      <c r="A20" s="951" t="s">
        <v>1054</v>
      </c>
      <c r="B20" s="254" t="s">
        <v>104</v>
      </c>
      <c r="C20" s="276">
        <f>ROUND((C5+C19)*F20,0)</f>
        <v>420</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3164</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4280</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4280</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5710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5112</v>
      </c>
      <c r="D34" s="261"/>
      <c r="E34" s="264"/>
      <c r="F34" s="301">
        <f>IF('数据-取费表'!B24=0,1,'数据-取费表'!N16)</f>
        <v>1</v>
      </c>
      <c r="G34" s="263" t="s">
        <v>116</v>
      </c>
    </row>
    <row r="35" spans="1:7" ht="13.5" customHeight="1">
      <c r="A35" s="954" t="s">
        <v>796</v>
      </c>
      <c r="B35" s="259" t="s">
        <v>60</v>
      </c>
      <c r="C35" s="264">
        <f>ROUND(C34*F35,0)</f>
        <v>153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368</v>
      </c>
      <c r="D37" s="261">
        <f>'数据-汇总表'!E3</f>
        <v>20447.539999999961</v>
      </c>
      <c r="E37" s="293">
        <f>'数据-取费表'!B35</f>
        <v>180</v>
      </c>
      <c r="F37" s="303"/>
      <c r="G37" s="305" t="s">
        <v>119</v>
      </c>
    </row>
    <row r="38" spans="1:7" ht="13.5" customHeight="1">
      <c r="A38" s="954" t="s">
        <v>799</v>
      </c>
      <c r="B38" s="259" t="s">
        <v>63</v>
      </c>
      <c r="C38" s="264">
        <f>ROUND(C34*F38,0)</f>
        <v>77</v>
      </c>
      <c r="D38" s="264"/>
      <c r="E38" s="264"/>
      <c r="F38" s="303">
        <f>'数据-取费表'!B36</f>
        <v>1.4999999999999999E-2</v>
      </c>
      <c r="G38" s="263" t="s">
        <v>117</v>
      </c>
    </row>
    <row r="39" spans="1:7" s="258" customFormat="1" ht="13.5" customHeight="1">
      <c r="A39" s="951" t="s">
        <v>783</v>
      </c>
      <c r="B39" s="254" t="s">
        <v>104</v>
      </c>
      <c r="C39" s="276">
        <f>ROUND(C33*F20,0)</f>
        <v>114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420</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412</v>
      </c>
      <c r="D42" s="282"/>
      <c r="E42" s="282"/>
      <c r="F42" s="283"/>
      <c r="G42" s="3201" t="s">
        <v>121</v>
      </c>
    </row>
    <row r="43" spans="1:7" ht="13.5" customHeight="1">
      <c r="A43" s="954" t="s">
        <v>792</v>
      </c>
      <c r="B43" s="259" t="s">
        <v>1061</v>
      </c>
      <c r="C43" s="282">
        <f ca="1">ROUND(IF('数据-取费表'!B22&lt;=1,C39*F22*'数据-取费表'!B21/2,C39*(POWER((1+F22),'数据-取费表'!B21/2)-1)),0)</f>
        <v>8</v>
      </c>
      <c r="D43" s="282"/>
      <c r="E43" s="282"/>
      <c r="F43" s="283"/>
      <c r="G43" s="3202"/>
    </row>
    <row r="44" spans="1:7" ht="13.5" customHeight="1">
      <c r="A44" s="954" t="s">
        <v>793</v>
      </c>
      <c r="B44" s="259" t="s">
        <v>1063</v>
      </c>
      <c r="C44" s="282">
        <f ca="1">ROUND(IF('数据-取费表'!B22&lt;=1,C40*F22*'数据-取费表'!B21/2,C40*(POWER((1+F22),'数据-取费表'!B21/2)-1)),4)</f>
        <v>1.4E-3</v>
      </c>
      <c r="D44" s="282"/>
      <c r="E44" s="282"/>
      <c r="F44" s="283"/>
      <c r="G44" s="3203"/>
    </row>
    <row r="45" spans="1:7" s="258" customFormat="1" ht="13.5" customHeight="1">
      <c r="A45" s="951" t="s">
        <v>786</v>
      </c>
      <c r="B45" s="288" t="s">
        <v>112</v>
      </c>
      <c r="C45" s="289">
        <f>C46</f>
        <v>1165</v>
      </c>
      <c r="D45" s="279">
        <f>C47</f>
        <v>4.0000000000000001E-3</v>
      </c>
      <c r="E45" s="280" t="s">
        <v>129</v>
      </c>
      <c r="F45" s="290"/>
      <c r="G45" s="291" t="s">
        <v>1069</v>
      </c>
    </row>
    <row r="46" spans="1:7" s="258" customFormat="1" ht="13.5" customHeight="1">
      <c r="A46" s="954" t="s">
        <v>794</v>
      </c>
      <c r="B46" s="292" t="s">
        <v>1062</v>
      </c>
      <c r="C46" s="293">
        <f>ROUND((C33+C39)*F27,0)</f>
        <v>1165</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8042</v>
      </c>
      <c r="D49" s="276"/>
      <c r="E49" s="276"/>
      <c r="F49" s="308"/>
      <c r="G49" s="278" t="s">
        <v>1070</v>
      </c>
    </row>
    <row r="50" spans="1:7" s="302" customFormat="1" ht="24">
      <c r="A50" s="951" t="s">
        <v>789</v>
      </c>
      <c r="B50" s="254" t="s">
        <v>124</v>
      </c>
      <c r="C50" s="276"/>
      <c r="D50" s="276"/>
      <c r="E50" s="276"/>
      <c r="F50" s="308">
        <f>IF('数据-取费表'!B24=0,'数据-取费表'!N16,1)</f>
        <v>0.97399999999999998</v>
      </c>
      <c r="G50" s="291" t="s">
        <v>125</v>
      </c>
    </row>
    <row r="51" spans="1:7" ht="16.5" customHeight="1">
      <c r="A51" s="951" t="s">
        <v>790</v>
      </c>
      <c r="B51" s="254" t="s">
        <v>132</v>
      </c>
      <c r="C51" s="276">
        <f ca="1">ROUND(C49*F50,0)</f>
        <v>7833</v>
      </c>
      <c r="D51" s="276"/>
      <c r="E51" s="276"/>
      <c r="F51" s="308"/>
      <c r="G51" s="278" t="s">
        <v>64</v>
      </c>
    </row>
    <row r="52" spans="1:7" s="252" customFormat="1" ht="16.5" thickBot="1">
      <c r="A52" s="309" t="s">
        <v>65</v>
      </c>
      <c r="B52" s="310"/>
      <c r="C52" s="311">
        <f ca="1">C31+C51</f>
        <v>39140</v>
      </c>
      <c r="D52" s="310"/>
      <c r="E52" s="310"/>
      <c r="F52" s="310"/>
      <c r="G52" s="312"/>
    </row>
    <row r="55" spans="1:7" ht="15">
      <c r="B55" s="314" t="s">
        <v>66</v>
      </c>
      <c r="C55" s="315"/>
    </row>
    <row r="56" spans="1:7">
      <c r="B56" s="317" t="s">
        <v>67</v>
      </c>
      <c r="C56" s="318">
        <f ca="1">ROUND(C51/C52,3)</f>
        <v>0.2</v>
      </c>
    </row>
    <row r="57" spans="1:7">
      <c r="B57" s="317" t="s">
        <v>68</v>
      </c>
      <c r="C57" s="319">
        <f ca="1">1-C56</f>
        <v>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8" t="s">
        <v>156</v>
      </c>
      <c r="B1" s="3338"/>
      <c r="C1" s="3338"/>
      <c r="D1" s="3338"/>
      <c r="E1" s="3338"/>
      <c r="F1" s="333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9" t="s">
        <v>169</v>
      </c>
      <c r="B2" s="3339"/>
      <c r="C2" s="3339"/>
      <c r="D2" s="3339"/>
      <c r="E2" s="3339"/>
      <c r="F2" s="333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8" t="s">
        <v>868</v>
      </c>
      <c r="B1" s="333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1637</v>
      </c>
      <c r="B2" s="3015" t="s">
        <v>1638</v>
      </c>
      <c r="C2" s="3015" t="s">
        <v>1639</v>
      </c>
      <c r="D2" s="3015" t="str">
        <f>结果表!D116</f>
        <v>出让国有建设用地使用权价值</v>
      </c>
      <c r="E2" s="3015"/>
      <c r="F2" s="3015" t="str">
        <f>结果表!F116</f>
        <v>建筑物价值</v>
      </c>
      <c r="G2" s="3015"/>
      <c r="H2" s="3015" t="str">
        <f>IF(项目基本情况!B9="房地产市场价值","房地产市场价值","房地产价值")</f>
        <v>房地产价值</v>
      </c>
      <c r="I2" s="3015"/>
    </row>
    <row r="3" spans="1:9" ht="15">
      <c r="A3" s="3016"/>
      <c r="B3" s="3016"/>
      <c r="C3" s="3016"/>
      <c r="D3" s="1047" t="s">
        <v>1634</v>
      </c>
      <c r="E3" s="1047" t="s">
        <v>1640</v>
      </c>
      <c r="F3" s="1047" t="s">
        <v>1634</v>
      </c>
      <c r="G3" s="1047" t="s">
        <v>1635</v>
      </c>
      <c r="H3" s="1047" t="s">
        <v>1634</v>
      </c>
      <c r="I3" s="1047" t="s">
        <v>1635</v>
      </c>
    </row>
    <row r="4" spans="1:9" ht="15">
      <c r="A4" s="1976" t="str">
        <f>项目基本情况!S2</f>
        <v>房地产</v>
      </c>
      <c r="B4" s="1047">
        <f>项目基本情况!C17</f>
        <v>20447.539999999961</v>
      </c>
      <c r="C4" s="1047">
        <f>项目基本情况!C18</f>
        <v>40347.69</v>
      </c>
      <c r="D4" s="1047">
        <f ca="1">结果表!D118</f>
        <v>10494</v>
      </c>
      <c r="E4" s="1047">
        <f ca="1">结果表!E118</f>
        <v>5132</v>
      </c>
      <c r="F4" s="1047">
        <f ca="1">结果表!F118</f>
        <v>8212</v>
      </c>
      <c r="G4" s="1047">
        <f ca="1">结果表!G118</f>
        <v>4016</v>
      </c>
      <c r="H4" s="1047">
        <f ca="1">结果表!H118</f>
        <v>18706</v>
      </c>
      <c r="I4" s="1047">
        <f ca="1">结果表!I118</f>
        <v>9148</v>
      </c>
    </row>
    <row r="5" spans="1:9" ht="30" customHeight="1">
      <c r="A5" s="3016" t="s">
        <v>1636</v>
      </c>
      <c r="B5" s="3016"/>
      <c r="C5" s="3016"/>
      <c r="D5" s="3017" t="str">
        <f ca="1">结果表!D119</f>
        <v>壹亿零肆佰玖拾肆万元整</v>
      </c>
      <c r="E5" s="3017"/>
      <c r="F5" s="3017" t="str">
        <f ca="1">结果表!F119</f>
        <v>捌仟贰佰壹拾贰万元整</v>
      </c>
      <c r="G5" s="3017"/>
      <c r="H5" s="3017" t="str">
        <f ca="1">结果表!H119</f>
        <v>壹亿捌仟柒佰零陆万元整</v>
      </c>
      <c r="I5" s="3017"/>
    </row>
    <row r="6" spans="1:9" ht="15.75">
      <c r="A6" s="3018" t="str">
        <f>结果表!A120</f>
        <v>估价师知悉的法定优先受偿款</v>
      </c>
      <c r="B6" s="3018"/>
      <c r="C6" s="3018"/>
      <c r="D6" s="3018">
        <f>结果表!D120</f>
        <v>0</v>
      </c>
      <c r="E6" s="3018"/>
      <c r="F6" s="3018"/>
      <c r="G6" s="3018"/>
      <c r="H6" s="3018"/>
      <c r="I6" s="3018"/>
    </row>
    <row r="7" spans="1:9" ht="15">
      <c r="A7" s="3016" t="s">
        <v>1636</v>
      </c>
      <c r="B7" s="3016"/>
      <c r="C7" s="3016"/>
      <c r="D7" s="3019" t="str">
        <f>结果表!D121</f>
        <v>零元整</v>
      </c>
      <c r="E7" s="3020"/>
      <c r="F7" s="3020"/>
      <c r="G7" s="3020"/>
      <c r="H7" s="3020"/>
      <c r="I7" s="3021"/>
    </row>
    <row r="8" spans="1:9" ht="15.75">
      <c r="A8" s="3018" t="str">
        <f>结果表!A122</f>
        <v>房地产抵押价值</v>
      </c>
      <c r="B8" s="3018"/>
      <c r="C8" s="3018"/>
      <c r="D8" s="3018">
        <f ca="1">结果表!D122</f>
        <v>18706</v>
      </c>
      <c r="E8" s="3018"/>
      <c r="F8" s="3018"/>
      <c r="G8" s="3018"/>
      <c r="H8" s="3018"/>
      <c r="I8" s="3018"/>
    </row>
    <row r="9" spans="1:9" ht="15">
      <c r="A9" s="3016" t="s">
        <v>1636</v>
      </c>
      <c r="B9" s="3016"/>
      <c r="C9" s="3016"/>
      <c r="D9" s="3017" t="str">
        <f ca="1">结果表!D123</f>
        <v>壹亿捌仟柒佰零陆万元整</v>
      </c>
      <c r="E9" s="3017"/>
      <c r="F9" s="3017"/>
      <c r="G9" s="3017"/>
      <c r="H9" s="3017"/>
      <c r="I9" s="3017"/>
    </row>
    <row r="10" spans="1:9" ht="15.75">
      <c r="A10" s="3018" t="str">
        <f>结果表!A124</f>
        <v/>
      </c>
      <c r="B10" s="3018"/>
      <c r="C10" s="3018"/>
      <c r="D10" s="3018" t="str">
        <f>结果表!D124</f>
        <v>——</v>
      </c>
      <c r="E10" s="3018"/>
      <c r="F10" s="3018"/>
      <c r="G10" s="3018"/>
      <c r="H10" s="3018"/>
      <c r="I10" s="3018"/>
    </row>
    <row r="11" spans="1:9" ht="15">
      <c r="A11" s="3016" t="s">
        <v>1636</v>
      </c>
      <c r="B11" s="3016"/>
      <c r="C11" s="3016"/>
      <c r="D11" s="3017" t="e">
        <f>结果表!D125</f>
        <v>#VALUE!</v>
      </c>
      <c r="E11" s="3017"/>
      <c r="F11" s="3017"/>
      <c r="G11" s="3017"/>
      <c r="H11" s="3017"/>
      <c r="I11" s="3017"/>
    </row>
    <row r="12" spans="1:9" ht="15.75">
      <c r="A12" s="3018" t="str">
        <f>结果表!A126</f>
        <v/>
      </c>
      <c r="B12" s="3018"/>
      <c r="C12" s="3018"/>
      <c r="D12" s="3018" t="str">
        <f>结果表!D126</f>
        <v>——</v>
      </c>
      <c r="E12" s="3018"/>
      <c r="F12" s="3018"/>
      <c r="G12" s="3018"/>
      <c r="H12" s="3018"/>
      <c r="I12" s="3018"/>
    </row>
    <row r="13" spans="1:9" ht="15.75" thickBot="1">
      <c r="A13" s="3022" t="s">
        <v>1636</v>
      </c>
      <c r="B13" s="3022"/>
      <c r="C13" s="3022"/>
      <c r="D13" s="3023" t="e">
        <f>结果表!D127</f>
        <v>#VALUE!</v>
      </c>
      <c r="E13" s="3023"/>
      <c r="F13" s="3023"/>
      <c r="G13" s="3023"/>
      <c r="H13" s="3023"/>
      <c r="I13" s="3023"/>
    </row>
    <row r="14" spans="1:9" ht="15" thickTop="1">
      <c r="A14" s="3024" t="s">
        <v>1641</v>
      </c>
      <c r="B14" s="3024"/>
      <c r="C14" s="3024"/>
      <c r="D14" s="3024"/>
      <c r="E14" s="3024"/>
      <c r="F14" s="3024"/>
      <c r="G14" s="3024"/>
      <c r="H14" s="3024"/>
      <c r="I14" s="302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24"/>
  <sheetViews>
    <sheetView workbookViewId="0">
      <selection activeCell="F4" sqref="F4"/>
    </sheetView>
  </sheetViews>
  <sheetFormatPr defaultRowHeight="13.5"/>
  <cols>
    <col min="4" max="4" width="10.125" customWidth="1"/>
    <col min="5" max="5" width="20.875" customWidth="1"/>
    <col min="6" max="6" width="13.125" customWidth="1"/>
    <col min="7" max="8" width="16.125" bestFit="1" customWidth="1"/>
    <col min="9" max="9" width="8.5" bestFit="1" customWidth="1"/>
  </cols>
  <sheetData>
    <row r="5" spans="1:9" ht="14.25" thickBot="1"/>
    <row r="6" spans="1:9" ht="14.25" thickBot="1">
      <c r="E6" s="3342" t="s">
        <v>3418</v>
      </c>
      <c r="F6" s="3347" t="s">
        <v>3419</v>
      </c>
      <c r="G6" s="3344" t="s">
        <v>3415</v>
      </c>
      <c r="H6" s="3345"/>
      <c r="I6" s="3346"/>
    </row>
    <row r="7" spans="1:9" ht="14.25" thickBot="1">
      <c r="E7" s="3343"/>
      <c r="F7" s="3348"/>
      <c r="G7" s="2996" t="s">
        <v>3416</v>
      </c>
      <c r="H7" s="2996" t="s">
        <v>3417</v>
      </c>
      <c r="I7" s="2996" t="s">
        <v>37</v>
      </c>
    </row>
    <row r="8" spans="1:9" ht="25.5" thickBot="1">
      <c r="E8" s="2997" t="s">
        <v>3420</v>
      </c>
      <c r="F8" s="2998">
        <v>1462.7400000000021</v>
      </c>
      <c r="G8" s="2999">
        <v>13106.659999999993</v>
      </c>
      <c r="H8" s="2999">
        <v>0</v>
      </c>
      <c r="I8" s="2999">
        <f>G8+H8</f>
        <v>13106.659999999993</v>
      </c>
    </row>
    <row r="9" spans="1:9" ht="25.5" thickBot="1">
      <c r="E9" s="2997" t="s">
        <v>3421</v>
      </c>
      <c r="F9" s="2998">
        <v>947.49000000000024</v>
      </c>
      <c r="G9" s="2999">
        <v>7397.6099999999988</v>
      </c>
      <c r="H9" s="2999">
        <v>0</v>
      </c>
      <c r="I9" s="2999">
        <f t="shared" ref="I9:I10" si="0">G9+H9</f>
        <v>7397.6099999999988</v>
      </c>
    </row>
    <row r="10" spans="1:9" ht="25.5" thickBot="1">
      <c r="E10" s="2997" t="s">
        <v>3422</v>
      </c>
      <c r="F10" s="2998">
        <v>929.57999999999993</v>
      </c>
      <c r="G10" s="2999">
        <v>7340.8800000000037</v>
      </c>
      <c r="H10" s="2999">
        <v>0</v>
      </c>
      <c r="I10" s="2999">
        <f t="shared" si="0"/>
        <v>7340.8800000000037</v>
      </c>
    </row>
    <row r="11" spans="1:9" ht="14.25" thickBot="1">
      <c r="E11" s="3002" t="s">
        <v>37</v>
      </c>
      <c r="F11" s="3001">
        <f>SUM(F8:F10)</f>
        <v>3339.8100000000022</v>
      </c>
      <c r="G11" s="3000">
        <f>SUM(G8:G10)</f>
        <v>27845.149999999994</v>
      </c>
      <c r="H11" s="3000">
        <v>0</v>
      </c>
      <c r="I11" s="2999">
        <f>G11+H11</f>
        <v>27845.149999999994</v>
      </c>
    </row>
    <row r="16" spans="1:9">
      <c r="A16" s="3351" t="s">
        <v>3424</v>
      </c>
      <c r="B16" s="3351" t="s">
        <v>3425</v>
      </c>
      <c r="C16" s="3351" t="s">
        <v>3426</v>
      </c>
      <c r="D16" s="3351" t="s">
        <v>3429</v>
      </c>
      <c r="E16" s="3351" t="s">
        <v>3430</v>
      </c>
      <c r="F16" s="3351" t="s">
        <v>3427</v>
      </c>
      <c r="G16" s="3351" t="s">
        <v>3428</v>
      </c>
    </row>
    <row r="19" spans="7:7">
      <c r="G19">
        <v>100</v>
      </c>
    </row>
    <row r="24" spans="7:7">
      <c r="G24">
        <v>10000</v>
      </c>
    </row>
  </sheetData>
  <mergeCells count="3">
    <mergeCell ref="E6:E7"/>
    <mergeCell ref="G6:I6"/>
    <mergeCell ref="F6:F7"/>
  </mergeCells>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25" t="s">
        <v>1658</v>
      </c>
      <c r="B1" s="3025"/>
      <c r="C1" s="3025"/>
      <c r="D1" s="3025"/>
    </row>
    <row r="2" spans="1:4" ht="18">
      <c r="A2" s="3026" t="s">
        <v>1642</v>
      </c>
      <c r="B2" s="3026"/>
      <c r="C2" s="3026"/>
      <c r="D2" s="3026"/>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26" t="s">
        <v>1648</v>
      </c>
      <c r="B6" s="3026"/>
      <c r="C6" s="3026"/>
      <c r="D6" s="3026"/>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27" t="s">
        <v>1651</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1" t="s">
        <v>1652</v>
      </c>
      <c r="B16" s="3031"/>
      <c r="C16" s="3031"/>
      <c r="D16" s="3031"/>
    </row>
    <row r="17" spans="1:4" ht="144" customHeight="1">
      <c r="A17" s="3031" t="s">
        <v>1653</v>
      </c>
      <c r="B17" s="3031"/>
      <c r="C17" s="3031"/>
      <c r="D17" s="3031"/>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1654</v>
      </c>
      <c r="B22" s="3033"/>
      <c r="C22" s="3033"/>
      <c r="D22" s="3033"/>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39" t="s">
        <v>1665</v>
      </c>
      <c r="B15" s="3034" t="s">
        <v>136</v>
      </c>
      <c r="C15" s="3035"/>
    </row>
    <row r="16" spans="1:7" ht="13.5">
      <c r="A16" s="3040"/>
      <c r="B16" s="3034" t="s">
        <v>69</v>
      </c>
      <c r="C16" s="3035"/>
    </row>
    <row r="17" spans="1:3" ht="13.5">
      <c r="A17" s="3040"/>
      <c r="B17" s="3037" t="s">
        <v>1666</v>
      </c>
      <c r="C17" s="2003" t="s">
        <v>1665</v>
      </c>
    </row>
    <row r="18" spans="1:3" ht="13.5">
      <c r="A18" s="3040"/>
      <c r="B18" s="3037"/>
      <c r="C18" s="2003" t="s">
        <v>1667</v>
      </c>
    </row>
    <row r="19" spans="1:3" ht="13.5">
      <c r="A19" s="3040"/>
      <c r="B19" s="3037"/>
      <c r="C19" s="2003" t="s">
        <v>1668</v>
      </c>
    </row>
    <row r="20" spans="1:3" ht="13.5">
      <c r="A20" s="3041"/>
      <c r="B20" s="3036" t="s">
        <v>1669</v>
      </c>
      <c r="C20" s="3035"/>
    </row>
    <row r="21" spans="1:3" ht="13.5">
      <c r="A21" s="2004" t="s">
        <v>1670</v>
      </c>
      <c r="B21" s="2005"/>
      <c r="C21" s="2006"/>
    </row>
    <row r="22" spans="1:3" ht="13.5">
      <c r="A22" s="3038" t="s">
        <v>1671</v>
      </c>
      <c r="B22" s="3036" t="s">
        <v>1672</v>
      </c>
      <c r="C22" s="3035"/>
    </row>
    <row r="23" spans="1:3" ht="13.5">
      <c r="A23" s="3038"/>
      <c r="B23" s="3036" t="s">
        <v>1673</v>
      </c>
      <c r="C23" s="3035"/>
    </row>
    <row r="24" spans="1:3" ht="13.5">
      <c r="A24" s="3038"/>
      <c r="B24" s="3036" t="s">
        <v>1674</v>
      </c>
      <c r="C24" s="3035"/>
    </row>
    <row r="25" spans="1:3" ht="13.5">
      <c r="A25" s="3038"/>
      <c r="B25" s="3037" t="s">
        <v>1675</v>
      </c>
      <c r="C25" s="2003" t="s">
        <v>1676</v>
      </c>
    </row>
    <row r="26" spans="1:3" ht="13.5">
      <c r="A26" s="3038"/>
      <c r="B26" s="3037"/>
      <c r="C26" s="2003" t="s">
        <v>1677</v>
      </c>
    </row>
    <row r="27" spans="1:3" ht="13.5">
      <c r="A27" s="3038"/>
      <c r="B27" s="3037"/>
      <c r="C27" s="2003" t="s">
        <v>1678</v>
      </c>
    </row>
    <row r="28" spans="1:3" ht="13.5">
      <c r="A28" s="3038"/>
      <c r="B28" s="3037"/>
      <c r="C28" s="2003" t="s">
        <v>1679</v>
      </c>
    </row>
    <row r="29" spans="1:3" ht="13.5">
      <c r="A29" s="3038"/>
      <c r="B29" s="3037"/>
      <c r="C29" s="2003" t="s">
        <v>1680</v>
      </c>
    </row>
    <row r="30" spans="1:3" ht="13.5">
      <c r="A30" s="3038"/>
      <c r="B30" s="3037"/>
      <c r="C30" s="2003" t="s">
        <v>1681</v>
      </c>
    </row>
    <row r="31" spans="1:3" ht="13.5">
      <c r="A31" s="3038"/>
      <c r="B31" s="3037"/>
      <c r="C31" s="2003" t="s">
        <v>1682</v>
      </c>
    </row>
    <row r="32" spans="1:3" ht="13.5">
      <c r="A32" s="3038"/>
      <c r="B32" s="3037"/>
      <c r="C32" s="2003" t="s">
        <v>1683</v>
      </c>
    </row>
    <row r="33" spans="1:3" ht="13.5">
      <c r="A33" s="3038"/>
      <c r="B33" s="303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43604</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3046</v>
      </c>
      <c r="B14" s="1025">
        <f ca="1">IF(C14&lt;B2,"已过期",1120040230)</f>
        <v>1120040230</v>
      </c>
      <c r="C14" s="2350">
        <v>43835</v>
      </c>
      <c r="D14" s="2353" t="s">
        <v>3046</v>
      </c>
      <c r="E14" s="1025">
        <f ca="1">IF(F14&lt;B2,"已过期",98030020)</f>
        <v>98030020</v>
      </c>
      <c r="F14" s="1033">
        <v>47118</v>
      </c>
    </row>
    <row r="15" spans="1:6" ht="24" customHeight="1">
      <c r="A15" s="1706" t="s">
        <v>3047</v>
      </c>
      <c r="B15" s="1025">
        <f ca="1">IF(C15&lt;B2,"已过期",1120070085)</f>
        <v>1120070085</v>
      </c>
      <c r="C15" s="2350">
        <v>43814</v>
      </c>
      <c r="D15" s="2354" t="s">
        <v>3047</v>
      </c>
      <c r="E15" s="1025">
        <f ca="1">IF(F15&lt;B2,"已过期",2004110128)</f>
        <v>2004110128</v>
      </c>
      <c r="F15" s="1026">
        <v>47118</v>
      </c>
    </row>
    <row r="16" spans="1:6" ht="24" customHeight="1">
      <c r="A16" s="1705" t="s">
        <v>3048</v>
      </c>
      <c r="B16" s="1025">
        <f ca="1">IF(C16&lt;B2,"已过期",1120140022)</f>
        <v>1120140022</v>
      </c>
      <c r="C16" s="2941">
        <v>44029</v>
      </c>
      <c r="D16" s="2353" t="s">
        <v>3048</v>
      </c>
      <c r="E16" s="1025">
        <f ca="1">IF(F16&lt;B2,"已过期",2008110059)</f>
        <v>2008110059</v>
      </c>
      <c r="F16" s="1033">
        <v>47177</v>
      </c>
    </row>
    <row r="17" spans="1:7" ht="24" customHeight="1">
      <c r="A17" s="1705"/>
      <c r="B17" s="1025"/>
      <c r="C17" s="2350"/>
      <c r="D17" s="2353" t="s">
        <v>3049</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42" t="s">
        <v>843</v>
      </c>
      <c r="B25" s="3042"/>
      <c r="C25" s="3042"/>
      <c r="D25" s="3042"/>
      <c r="E25" s="3042"/>
      <c r="F25" s="3042"/>
      <c r="G25" s="3042"/>
    </row>
    <row r="26" spans="1:7" s="1028" customFormat="1" ht="24" customHeight="1">
      <c r="A26" s="3043" t="s">
        <v>844</v>
      </c>
      <c r="B26" s="3043"/>
      <c r="C26" s="3044"/>
      <c r="D26" s="3045" t="s">
        <v>845</v>
      </c>
      <c r="E26" s="3043"/>
      <c r="F26" s="3043"/>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假设开发法</vt:lpstr>
      <vt:lpstr>成本法 (2)</vt:lpstr>
      <vt:lpstr>成本法 (3)</vt:lpstr>
      <vt:lpstr>收益法-3</vt:lpstr>
      <vt:lpstr>收益法 (元)</vt:lpstr>
      <vt:lpstr>酒店收入计算</vt:lpstr>
      <vt:lpstr>比较法-住宅</vt:lpstr>
      <vt:lpstr>比较法-商业</vt:lpstr>
      <vt:lpstr>比较法-办公</vt:lpstr>
      <vt:lpstr>比较法-工业</vt:lpstr>
      <vt:lpstr>比较法-车位</vt:lpstr>
      <vt:lpstr>比较法-仓储</vt:lpstr>
      <vt:lpstr>收益法-7</vt:lpstr>
      <vt:lpstr>收益法（汇总）</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'收益法-3'!Print_Area</vt:lpstr>
      <vt:lpstr>'收益法-7'!Print_Area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2019-05-19T05:26:47Z</dcterms:modified>
</cp:coreProperties>
</file>