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7" i="6" l="1"/>
  <c r="F36" i="6"/>
  <c r="F19" i="6" l="1"/>
  <c r="I13" i="3"/>
  <c r="A3" i="3"/>
  <c r="E13" i="4" l="1"/>
  <c r="B3" i="4"/>
  <c r="D3" i="4" s="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E73" i="71"/>
  <c r="E72" i="71"/>
  <c r="E71" i="71" s="1"/>
  <c r="C73" i="71"/>
  <c r="D73" i="71" s="1"/>
  <c r="B73" i="71"/>
  <c r="B72" i="71" s="1"/>
  <c r="F71" i="71"/>
  <c r="B71" i="71"/>
  <c r="D70" i="71"/>
  <c r="F69" i="71"/>
  <c r="F68" i="71" s="1"/>
  <c r="E69" i="71"/>
  <c r="E68" i="71"/>
  <c r="E67" i="71" s="1"/>
  <c r="C69" i="7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D50" i="71"/>
  <c r="Q49" i="71"/>
  <c r="P49" i="71"/>
  <c r="O49" i="71"/>
  <c r="N49" i="71"/>
  <c r="Q48" i="71"/>
  <c r="P48" i="71"/>
  <c r="O48" i="71"/>
  <c r="N48" i="71"/>
  <c r="Q47" i="71"/>
  <c r="P47" i="71"/>
  <c r="E48" i="71" s="1"/>
  <c r="E49" i="71" s="1"/>
  <c r="O47" i="71"/>
  <c r="N47" i="71"/>
  <c r="Q46" i="71"/>
  <c r="F47" i="7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O42" i="71"/>
  <c r="C43" i="71" s="1"/>
  <c r="N42" i="71"/>
  <c r="B43" i="71" s="1"/>
  <c r="B44" i="71" s="1"/>
  <c r="B45" i="71" s="1"/>
  <c r="S45" i="71" s="1"/>
  <c r="D42" i="71"/>
  <c r="Q41" i="71"/>
  <c r="P41" i="71"/>
  <c r="O41" i="71"/>
  <c r="N41" i="71"/>
  <c r="Q40" i="71"/>
  <c r="P40" i="71"/>
  <c r="O40" i="71"/>
  <c r="N40" i="71"/>
  <c r="Q39" i="71"/>
  <c r="P39" i="71"/>
  <c r="O39" i="71"/>
  <c r="N39" i="71"/>
  <c r="C39" i="71"/>
  <c r="C40" i="71" s="1"/>
  <c r="Q38" i="71"/>
  <c r="F39" i="71"/>
  <c r="F40" i="71" s="1"/>
  <c r="F41" i="71" s="1"/>
  <c r="V41" i="71" s="1"/>
  <c r="P38" i="71"/>
  <c r="E39" i="71" s="1"/>
  <c r="E40" i="71" s="1"/>
  <c r="E41" i="71" s="1"/>
  <c r="U41"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D31" i="71" s="1"/>
  <c r="N30" i="71"/>
  <c r="B31" i="71" s="1"/>
  <c r="B32" i="7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c r="U29" i="71" s="1"/>
  <c r="O26" i="71"/>
  <c r="C27" i="71" s="1"/>
  <c r="D27" i="71" s="1"/>
  <c r="N26" i="71"/>
  <c r="B27" i="71" s="1"/>
  <c r="B28" i="71" s="1"/>
  <c r="B29" i="71" s="1"/>
  <c r="S29" i="71"/>
  <c r="D26" i="71"/>
  <c r="Q25" i="71"/>
  <c r="P25" i="71"/>
  <c r="O25" i="71"/>
  <c r="N25" i="71"/>
  <c r="AB24" i="71"/>
  <c r="Q24" i="71"/>
  <c r="P24" i="71"/>
  <c r="O24" i="71"/>
  <c r="Y24" i="71" s="1"/>
  <c r="Z24" i="71"/>
  <c r="N24" i="71"/>
  <c r="X24" i="71"/>
  <c r="Q23" i="71"/>
  <c r="AB23" i="71"/>
  <c r="P23" i="71"/>
  <c r="O23" i="71"/>
  <c r="N23" i="71"/>
  <c r="F25" i="71"/>
  <c r="V25" i="71" s="1"/>
  <c r="Q22" i="71"/>
  <c r="F23" i="71" s="1"/>
  <c r="F24" i="71" s="1"/>
  <c r="P22" i="71"/>
  <c r="O22" i="71"/>
  <c r="C23" i="71" s="1"/>
  <c r="D23" i="71" s="1"/>
  <c r="N22" i="71"/>
  <c r="D22" i="71"/>
  <c r="Q21" i="71"/>
  <c r="AB21" i="71"/>
  <c r="P21" i="71"/>
  <c r="O21" i="71"/>
  <c r="N21" i="71"/>
  <c r="Q20" i="71"/>
  <c r="P20" i="71"/>
  <c r="O20" i="71"/>
  <c r="N20" i="71"/>
  <c r="Q19" i="71"/>
  <c r="P19" i="71"/>
  <c r="O19" i="71"/>
  <c r="N19" i="71"/>
  <c r="Q18" i="71"/>
  <c r="F19" i="71" s="1"/>
  <c r="F20" i="71" s="1"/>
  <c r="F21" i="71" s="1"/>
  <c r="V21" i="71" s="1"/>
  <c r="P18" i="71"/>
  <c r="O18" i="71"/>
  <c r="N18" i="71"/>
  <c r="D18" i="71"/>
  <c r="Q17" i="71"/>
  <c r="P17" i="71"/>
  <c r="O17" i="71"/>
  <c r="N17" i="71"/>
  <c r="Q16" i="71"/>
  <c r="P16" i="71"/>
  <c r="O16" i="71"/>
  <c r="N16" i="71"/>
  <c r="Q15" i="71"/>
  <c r="P15" i="71"/>
  <c r="O15" i="71"/>
  <c r="N15" i="71"/>
  <c r="Q14" i="71"/>
  <c r="P14" i="71"/>
  <c r="O14" i="71"/>
  <c r="N14" i="71"/>
  <c r="D14" i="71"/>
  <c r="O13" i="71"/>
  <c r="N13" i="71"/>
  <c r="B15" i="71"/>
  <c r="B16" i="71"/>
  <c r="E15" i="71"/>
  <c r="E16" i="71" s="1"/>
  <c r="E17" i="71"/>
  <c r="U17" i="71" s="1"/>
  <c r="B19" i="71"/>
  <c r="B20" i="71"/>
  <c r="B23" i="71"/>
  <c r="B24" i="71" s="1"/>
  <c r="B25" i="71"/>
  <c r="S25" i="71" s="1"/>
  <c r="X22" i="71"/>
  <c r="E23" i="71"/>
  <c r="E24" i="71"/>
  <c r="N53" i="71"/>
  <c r="E19" i="71"/>
  <c r="E20" i="71"/>
  <c r="E21" i="71" s="1"/>
  <c r="U21" i="71"/>
  <c r="C15" i="71"/>
  <c r="X16" i="71"/>
  <c r="C19" i="71"/>
  <c r="AA20" i="71"/>
  <c r="X21" i="71"/>
  <c r="AA21" i="71"/>
  <c r="AB22" i="71"/>
  <c r="X23" i="71"/>
  <c r="F37" i="71"/>
  <c r="V37" i="71" s="1"/>
  <c r="C13" i="71"/>
  <c r="Y11" i="71"/>
  <c r="Z11" i="71" s="1"/>
  <c r="B13" i="71"/>
  <c r="X13" i="71"/>
  <c r="D15" i="71"/>
  <c r="C24" i="71"/>
  <c r="C25" i="71" s="1"/>
  <c r="C28" i="71"/>
  <c r="C29" i="71" s="1"/>
  <c r="D29" i="71" s="1"/>
  <c r="C32" i="71"/>
  <c r="D32" i="71" s="1"/>
  <c r="D35" i="71"/>
  <c r="P13" i="71"/>
  <c r="E45" i="71"/>
  <c r="U45" i="71" s="1"/>
  <c r="U49" i="71"/>
  <c r="U53" i="71"/>
  <c r="E52" i="71"/>
  <c r="Q13" i="71"/>
  <c r="D39" i="71"/>
  <c r="D43" i="71"/>
  <c r="C48" i="71"/>
  <c r="D47" i="71"/>
  <c r="T53" i="71"/>
  <c r="O53" i="71"/>
  <c r="D53" i="71"/>
  <c r="C52" i="71"/>
  <c r="Q53" i="71"/>
  <c r="C56" i="71"/>
  <c r="E56" i="71"/>
  <c r="E55" i="71" s="1"/>
  <c r="D57" i="71"/>
  <c r="C60" i="71"/>
  <c r="E60" i="71"/>
  <c r="E59" i="71" s="1"/>
  <c r="D61" i="71"/>
  <c r="C64" i="71"/>
  <c r="E64" i="71"/>
  <c r="E63" i="71" s="1"/>
  <c r="D65" i="71"/>
  <c r="C72" i="71"/>
  <c r="C71" i="71" s="1"/>
  <c r="C12" i="71"/>
  <c r="F13" i="71"/>
  <c r="F12" i="71" s="1"/>
  <c r="F11" i="71"/>
  <c r="AB13" i="71"/>
  <c r="E13" i="71"/>
  <c r="E12" i="71"/>
  <c r="E11" i="71" s="1"/>
  <c r="C51" i="71"/>
  <c r="O52" i="71"/>
  <c r="D52" i="71"/>
  <c r="C49" i="71"/>
  <c r="D49" i="71" s="1"/>
  <c r="D48" i="71"/>
  <c r="D60" i="71"/>
  <c r="C59" i="71"/>
  <c r="D59" i="71" s="1"/>
  <c r="D72" i="71"/>
  <c r="D71" i="71"/>
  <c r="D64" i="71"/>
  <c r="C63" i="71"/>
  <c r="D63" i="71" s="1"/>
  <c r="D56" i="71"/>
  <c r="C55" i="71"/>
  <c r="D55" i="71"/>
  <c r="P52" i="71"/>
  <c r="E51" i="71"/>
  <c r="P50" i="71" s="1"/>
  <c r="D36" i="71"/>
  <c r="D28" i="71"/>
  <c r="D24" i="71"/>
  <c r="V13" i="71"/>
  <c r="P51" i="71"/>
  <c r="O51" i="71"/>
  <c r="D51" i="71"/>
  <c r="O50" i="71"/>
  <c r="T29" i="71"/>
  <c r="T3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H21" i="37"/>
  <c r="U21" i="37" s="1"/>
  <c r="F21" i="37"/>
  <c r="F84" i="34"/>
  <c r="H21" i="34"/>
  <c r="F83" i="33"/>
  <c r="H21" i="33"/>
  <c r="F21" i="33"/>
  <c r="E83" i="21"/>
  <c r="S21" i="21"/>
  <c r="H1" i="69"/>
  <c r="AC25" i="40"/>
  <c r="W25" i="40"/>
  <c r="AB25" i="40"/>
  <c r="U25" i="40"/>
  <c r="AB29" i="39"/>
  <c r="U29" i="39"/>
  <c r="AC29" i="39"/>
  <c r="W29" i="39"/>
  <c r="AC18" i="36"/>
  <c r="W18" i="36"/>
  <c r="AB21" i="37"/>
  <c r="AA21" i="37"/>
  <c r="S21" i="37"/>
  <c r="AB21" i="34"/>
  <c r="U21" i="34"/>
  <c r="U21" i="33"/>
  <c r="AB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s="1"/>
  <c r="E8" i="1" s="1"/>
  <c r="A9" i="1"/>
  <c r="A10" i="1"/>
  <c r="A11" i="1"/>
  <c r="A12" i="1"/>
  <c r="A13" i="1"/>
  <c r="A6" i="1"/>
  <c r="B11" i="1"/>
  <c r="E11" i="1" s="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G17" i="3" s="1"/>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I5" i="3" s="1"/>
  <c r="BJ493" i="3"/>
  <c r="BK493" i="3"/>
  <c r="BM493" i="3"/>
  <c r="BN493" i="3"/>
  <c r="BL493" i="3" s="1"/>
  <c r="BO493" i="3"/>
  <c r="BP493" i="3"/>
  <c r="BP5" i="3" s="1"/>
  <c r="BR493" i="3"/>
  <c r="BS493" i="3"/>
  <c r="BT493" i="3"/>
  <c r="H494" i="3"/>
  <c r="G494" i="3" s="1"/>
  <c r="AC494" i="3"/>
  <c r="BB494" i="3"/>
  <c r="BC494" i="3"/>
  <c r="BD494" i="3"/>
  <c r="BE494" i="3"/>
  <c r="BF494" i="3"/>
  <c r="BG494" i="3"/>
  <c r="BH494" i="3"/>
  <c r="BH5" i="3" s="1"/>
  <c r="BI494" i="3"/>
  <c r="BJ494" i="3"/>
  <c r="BK494" i="3"/>
  <c r="BM494" i="3"/>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L517" i="3" s="1"/>
  <c r="BN517" i="3"/>
  <c r="BO517" i="3"/>
  <c r="BP517" i="3"/>
  <c r="BR517" i="3"/>
  <c r="BS517" i="3"/>
  <c r="BT517" i="3"/>
  <c r="H518" i="3"/>
  <c r="AC518" i="3"/>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J38" i="34"/>
  <c r="W38" i="34"/>
  <c r="D114" i="34"/>
  <c r="F38" i="34"/>
  <c r="S38" i="34" s="1"/>
  <c r="D112" i="34"/>
  <c r="E112" i="34" s="1"/>
  <c r="F112" i="34"/>
  <c r="G112" i="34" s="1"/>
  <c r="H112" i="34" s="1"/>
  <c r="I112" i="34" s="1"/>
  <c r="J112" i="34"/>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s="1"/>
  <c r="G92" i="40" s="1"/>
  <c r="D90" i="40"/>
  <c r="E90" i="40"/>
  <c r="F90" i="40" s="1"/>
  <c r="G90" i="40"/>
  <c r="D88" i="40"/>
  <c r="E88" i="40"/>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E97" i="39" s="1"/>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AC36" i="21" s="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U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AA36" i="34" s="1"/>
  <c r="J35" i="34"/>
  <c r="W9" i="34"/>
  <c r="U34" i="34"/>
  <c r="H39" i="33"/>
  <c r="AB39" i="33"/>
  <c r="F26" i="33"/>
  <c r="AA26" i="33"/>
  <c r="S9" i="33"/>
  <c r="U33" i="33"/>
  <c r="U35" i="33"/>
  <c r="S40"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F27" i="39"/>
  <c r="AA27" i="39" s="1"/>
  <c r="F11" i="21"/>
  <c r="S11" i="21"/>
  <c r="S40" i="21"/>
  <c r="U34" i="21"/>
  <c r="C25" i="39"/>
  <c r="C27" i="39"/>
  <c r="C21" i="39"/>
  <c r="H11" i="39"/>
  <c r="S40" i="39"/>
  <c r="C15" i="39"/>
  <c r="H32" i="33"/>
  <c r="H11" i="21"/>
  <c r="U11" i="21" s="1"/>
  <c r="J11" i="21"/>
  <c r="W11" i="21" s="1"/>
  <c r="H37" i="40"/>
  <c r="U37" i="40" s="1"/>
  <c r="H36" i="40"/>
  <c r="AB36" i="40" s="1"/>
  <c r="F35" i="40"/>
  <c r="H23" i="40"/>
  <c r="AB23" i="40" s="1"/>
  <c r="H17" i="40"/>
  <c r="U17" i="40" s="1"/>
  <c r="J15" i="40"/>
  <c r="J11" i="40"/>
  <c r="AB8" i="39"/>
  <c r="AB12" i="33"/>
  <c r="AC12" i="34"/>
  <c r="AA12" i="34"/>
  <c r="AB12" i="35"/>
  <c r="W32" i="40"/>
  <c r="S44" i="39"/>
  <c r="F37" i="39"/>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S26" i="33"/>
  <c r="U40" i="33"/>
  <c r="W40" i="33"/>
  <c r="U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c r="J11" i="33"/>
  <c r="W11" i="33"/>
  <c r="U23" i="40"/>
  <c r="H123" i="21"/>
  <c r="I123" i="21" s="1"/>
  <c r="J123" i="21" s="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G107" i="37" s="1"/>
  <c r="J37" i="37"/>
  <c r="AC37" i="37"/>
  <c r="H37" i="37"/>
  <c r="U37" i="37"/>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J47" i="34"/>
  <c r="F13" i="35"/>
  <c r="J13" i="35"/>
  <c r="AC13" i="35" s="1"/>
  <c r="H13" i="35"/>
  <c r="J25" i="35"/>
  <c r="W25" i="35" s="1"/>
  <c r="F25" i="35"/>
  <c r="S25" i="35" s="1"/>
  <c r="H25" i="35"/>
  <c r="AB25" i="35" s="1"/>
  <c r="J35" i="35"/>
  <c r="AC35" i="35" s="1"/>
  <c r="F35" i="35"/>
  <c r="AA35" i="35" s="1"/>
  <c r="H35" i="35"/>
  <c r="J25" i="36"/>
  <c r="W25" i="36" s="1"/>
  <c r="F25" i="36"/>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H30" i="40"/>
  <c r="AB30" i="40" s="1"/>
  <c r="F33" i="40"/>
  <c r="AA33" i="40" s="1"/>
  <c r="H33" i="40"/>
  <c r="U33" i="40" s="1"/>
  <c r="J35" i="40"/>
  <c r="J37" i="40"/>
  <c r="AC37" i="40" s="1"/>
  <c r="J13" i="40"/>
  <c r="F14" i="37"/>
  <c r="S14" i="37" s="1"/>
  <c r="F27" i="37"/>
  <c r="AA27" i="37" s="1"/>
  <c r="F13" i="39"/>
  <c r="AA13" i="39" s="1"/>
  <c r="J13" i="39"/>
  <c r="W13" i="39"/>
  <c r="H13" i="39"/>
  <c r="H14" i="40"/>
  <c r="AB14" i="40" s="1"/>
  <c r="J14" i="40"/>
  <c r="W14" i="40" s="1"/>
  <c r="F14" i="40"/>
  <c r="AA14" i="40" s="1"/>
  <c r="J14" i="37"/>
  <c r="AC14" i="37" s="1"/>
  <c r="J27" i="37"/>
  <c r="AC27" i="37" s="1"/>
  <c r="AA44" i="33"/>
  <c r="U31" i="34"/>
  <c r="U46" i="33"/>
  <c r="AA14" i="33"/>
  <c r="J36" i="37"/>
  <c r="AC36" i="37"/>
  <c r="AB11" i="35"/>
  <c r="J10" i="36"/>
  <c r="AB26" i="33"/>
  <c r="AC13" i="36"/>
  <c r="W13" i="36"/>
  <c r="W11" i="35"/>
  <c r="AB46" i="34"/>
  <c r="AC30" i="34"/>
  <c r="AA14" i="34"/>
  <c r="S45" i="33"/>
  <c r="AB45" i="33"/>
  <c r="AB31" i="33"/>
  <c r="U31" i="33"/>
  <c r="W29" i="33"/>
  <c r="U13" i="33"/>
  <c r="AC28" i="21"/>
  <c r="S44" i="34"/>
  <c r="BA586" i="3"/>
  <c r="F17" i="21"/>
  <c r="AA17" i="21" s="1"/>
  <c r="H17" i="21"/>
  <c r="AB17" i="21" s="1"/>
  <c r="F15" i="21"/>
  <c r="S15" i="21" s="1"/>
  <c r="J41" i="39"/>
  <c r="W41" i="39"/>
  <c r="W44" i="39"/>
  <c r="W35" i="39"/>
  <c r="S35" i="39"/>
  <c r="G544" i="3"/>
  <c r="G540" i="3"/>
  <c r="G531" i="3"/>
  <c r="G518" i="3"/>
  <c r="G504" i="3"/>
  <c r="G584" i="3"/>
  <c r="G580" i="3"/>
  <c r="G576" i="3"/>
  <c r="G572" i="3"/>
  <c r="G568" i="3"/>
  <c r="G564" i="3"/>
  <c r="G560" i="3"/>
  <c r="G554" i="3"/>
  <c r="BL584" i="3"/>
  <c r="AZ584" i="3" s="1"/>
  <c r="BL580" i="3"/>
  <c r="BL576" i="3"/>
  <c r="BL572" i="3"/>
  <c r="BL568" i="3"/>
  <c r="BL564" i="3"/>
  <c r="BL560" i="3"/>
  <c r="AZ560" i="3" s="1"/>
  <c r="BL554" i="3"/>
  <c r="BL546" i="3"/>
  <c r="BL542" i="3"/>
  <c r="BL538" i="3"/>
  <c r="BL522" i="3"/>
  <c r="BL502" i="3"/>
  <c r="BL582" i="3"/>
  <c r="BL578" i="3"/>
  <c r="BL574" i="3"/>
  <c r="BL570" i="3"/>
  <c r="BL566" i="3"/>
  <c r="BL562" i="3"/>
  <c r="BL556" i="3"/>
  <c r="BL552" i="3"/>
  <c r="BL544" i="3"/>
  <c r="G533" i="3"/>
  <c r="G525" i="3"/>
  <c r="BL510"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AZ552" i="3"/>
  <c r="BA548" i="3"/>
  <c r="BA546" i="3"/>
  <c r="BA544" i="3"/>
  <c r="AZ544" i="3"/>
  <c r="BA542" i="3"/>
  <c r="AZ542" i="3"/>
  <c r="BA526" i="3"/>
  <c r="BA522" i="3"/>
  <c r="AZ522" i="3" s="1"/>
  <c r="BA516" i="3"/>
  <c r="BA506" i="3"/>
  <c r="BA500" i="3"/>
  <c r="BA494"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7" i="3"/>
  <c r="BA545" i="3"/>
  <c r="BA543" i="3"/>
  <c r="BA539" i="3"/>
  <c r="BA531" i="3"/>
  <c r="BA523" i="3"/>
  <c r="BA513" i="3"/>
  <c r="BA503"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AZ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H19" i="37"/>
  <c r="AB19" i="37"/>
  <c r="G123" i="33"/>
  <c r="H123" i="33" s="1"/>
  <c r="I123" i="33" s="1"/>
  <c r="J123" i="33" s="1"/>
  <c r="K123" i="33" s="1"/>
  <c r="L123" i="33" s="1"/>
  <c r="M123" i="33" s="1"/>
  <c r="H42" i="33"/>
  <c r="AB42" i="33"/>
  <c r="J43" i="33"/>
  <c r="AC43" i="33" s="1"/>
  <c r="U43" i="33"/>
  <c r="S28" i="31"/>
  <c r="S27" i="31"/>
  <c r="S26" i="31"/>
  <c r="AC32" i="36"/>
  <c r="AC33" i="36"/>
  <c r="AA12" i="35"/>
  <c r="W14" i="37"/>
  <c r="U33" i="37"/>
  <c r="U39" i="37"/>
  <c r="W26" i="37"/>
  <c r="AC8" i="37"/>
  <c r="U26" i="37"/>
  <c r="AB13" i="34"/>
  <c r="W37" i="34"/>
  <c r="AB37" i="34"/>
  <c r="AC36" i="34"/>
  <c r="AA13" i="33"/>
  <c r="AC31" i="33"/>
  <c r="AC45" i="33"/>
  <c r="W44" i="33"/>
  <c r="U19" i="21"/>
  <c r="W44" i="21"/>
  <c r="AC46" i="21"/>
  <c r="U12" i="21"/>
  <c r="AB38" i="21"/>
  <c r="F43" i="33"/>
  <c r="AA43" i="33"/>
  <c r="W15" i="34"/>
  <c r="AC15" i="34"/>
  <c r="W16" i="35"/>
  <c r="H107" i="37"/>
  <c r="I107" i="37" s="1"/>
  <c r="J107" i="37"/>
  <c r="K107" i="37" s="1"/>
  <c r="L107" i="37" s="1"/>
  <c r="M107" i="37" s="1"/>
  <c r="H37" i="21"/>
  <c r="U37" i="21" s="1"/>
  <c r="S42" i="21"/>
  <c r="H19" i="34"/>
  <c r="AB19" i="34"/>
  <c r="F36" i="35"/>
  <c r="S36" i="35"/>
  <c r="J9" i="37"/>
  <c r="W9" i="37"/>
  <c r="H9" i="37"/>
  <c r="AB9" i="37"/>
  <c r="F9" i="37"/>
  <c r="S9" i="37"/>
  <c r="E71" i="37"/>
  <c r="F15" i="37"/>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W23" i="39"/>
  <c r="AC43" i="39"/>
  <c r="U45" i="39"/>
  <c r="AB44" i="39"/>
  <c r="H25" i="39"/>
  <c r="AB25" i="39"/>
  <c r="J25" i="39"/>
  <c r="F25" i="39"/>
  <c r="F15" i="39"/>
  <c r="AA15" i="39" s="1"/>
  <c r="H15" i="39"/>
  <c r="J15" i="39"/>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K5" i="4"/>
  <c r="B47" i="48" s="1"/>
  <c r="A2" i="9"/>
  <c r="N2" i="43"/>
  <c r="F59" i="43"/>
  <c r="AZ32" i="3"/>
  <c r="AZ546" i="3"/>
  <c r="G546" i="3"/>
  <c r="G524" i="3"/>
  <c r="G303" i="3"/>
  <c r="BL304" i="3"/>
  <c r="G305" i="3"/>
  <c r="BL306" i="3"/>
  <c r="AZ306" i="3" s="1"/>
  <c r="BA308" i="3"/>
  <c r="AZ308" i="3"/>
  <c r="BA309" i="3"/>
  <c r="BL309" i="3"/>
  <c r="AZ309" i="3" s="1"/>
  <c r="G310" i="3"/>
  <c r="BA311" i="3"/>
  <c r="G319" i="3"/>
  <c r="BL320" i="3"/>
  <c r="AZ320" i="3" s="1"/>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BL124" i="3"/>
  <c r="G125" i="3"/>
  <c r="BA127" i="3"/>
  <c r="AZ127" i="3" s="1"/>
  <c r="BL128" i="3"/>
  <c r="G129" i="3"/>
  <c r="BA131" i="3"/>
  <c r="BL132" i="3"/>
  <c r="AZ132" i="3" s="1"/>
  <c r="G133" i="3"/>
  <c r="BA135" i="3"/>
  <c r="AZ135" i="3" s="1"/>
  <c r="BL136" i="3"/>
  <c r="AZ136" i="3" s="1"/>
  <c r="G137" i="3"/>
  <c r="BA139" i="3"/>
  <c r="AZ139" i="3" s="1"/>
  <c r="BL140" i="3"/>
  <c r="AZ140" i="3" s="1"/>
  <c r="G141" i="3"/>
  <c r="BA143" i="3"/>
  <c r="BL144" i="3"/>
  <c r="AZ144" i="3" s="1"/>
  <c r="G145" i="3"/>
  <c r="BA147" i="3"/>
  <c r="BL148" i="3"/>
  <c r="G149" i="3"/>
  <c r="BA151" i="3"/>
  <c r="AZ151" i="3"/>
  <c r="BL152" i="3"/>
  <c r="G153" i="3"/>
  <c r="BA155" i="3"/>
  <c r="AZ155" i="3"/>
  <c r="BL156" i="3"/>
  <c r="AZ156" i="3"/>
  <c r="G157" i="3"/>
  <c r="BA159" i="3"/>
  <c r="BL160" i="3"/>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AZ192" i="3" s="1"/>
  <c r="G193" i="3"/>
  <c r="BA195" i="3"/>
  <c r="BL196" i="3"/>
  <c r="AZ196" i="3" s="1"/>
  <c r="G197" i="3"/>
  <c r="BA199" i="3"/>
  <c r="AZ199" i="3" s="1"/>
  <c r="BL200" i="3"/>
  <c r="G201" i="3"/>
  <c r="BA203" i="3"/>
  <c r="AZ203" i="3"/>
  <c r="BL204" i="3"/>
  <c r="AZ204" i="3"/>
  <c r="AZ63" i="3"/>
  <c r="AZ67" i="3"/>
  <c r="AZ71" i="3"/>
  <c r="AZ75" i="3"/>
  <c r="AZ83" i="3"/>
  <c r="AZ184" i="3"/>
  <c r="AZ85" i="3"/>
  <c r="AZ89" i="3"/>
  <c r="AZ93" i="3"/>
  <c r="AZ101" i="3"/>
  <c r="AZ105" i="3"/>
  <c r="AZ109" i="3"/>
  <c r="AZ128" i="3"/>
  <c r="G534" i="3"/>
  <c r="G512"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62" i="3"/>
  <c r="AZ166" i="3"/>
  <c r="AZ174" i="3"/>
  <c r="AZ178" i="3"/>
  <c r="AZ182" i="3"/>
  <c r="AZ190" i="3"/>
  <c r="AZ202" i="3"/>
  <c r="AZ206" i="3"/>
  <c r="BA16" i="3"/>
  <c r="BL303" i="3"/>
  <c r="G304" i="3"/>
  <c r="BA306" i="3"/>
  <c r="BL307" i="3"/>
  <c r="AZ307" i="3"/>
  <c r="G308" i="3"/>
  <c r="BA310" i="3"/>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BL388" i="3"/>
  <c r="AZ388" i="3" s="1"/>
  <c r="G389" i="3"/>
  <c r="BA391" i="3"/>
  <c r="AZ391" i="3" s="1"/>
  <c r="BL392" i="3"/>
  <c r="G393" i="3"/>
  <c r="AZ263" i="3"/>
  <c r="AZ275" i="3"/>
  <c r="AZ279" i="3"/>
  <c r="AZ283" i="3"/>
  <c r="AZ287" i="3"/>
  <c r="AZ291" i="3"/>
  <c r="AZ295" i="3"/>
  <c r="AZ299" i="3"/>
  <c r="BD5" i="3"/>
  <c r="AZ317" i="3"/>
  <c r="AZ333" i="3"/>
  <c r="G548" i="3"/>
  <c r="G502" i="3"/>
  <c r="AZ343" i="3"/>
  <c r="BE5" i="3"/>
  <c r="BA17" i="3"/>
  <c r="AZ350" i="3"/>
  <c r="AZ364" i="3"/>
  <c r="AZ368" i="3"/>
  <c r="BA15" i="3"/>
  <c r="AZ384" i="3"/>
  <c r="AZ392" i="3"/>
  <c r="AZ396" i="3"/>
  <c r="AZ491" i="3"/>
  <c r="AZ376" i="3"/>
  <c r="AZ382" i="3"/>
  <c r="U36" i="40"/>
  <c r="N4" i="43"/>
  <c r="F36" i="43"/>
  <c r="F81" i="43"/>
  <c r="H83" i="43"/>
  <c r="H113" i="43"/>
  <c r="F48" i="43"/>
  <c r="N7" i="43"/>
  <c r="F70" i="43"/>
  <c r="H73" i="43"/>
  <c r="M6" i="43"/>
  <c r="M11" i="43"/>
  <c r="E17" i="43"/>
  <c r="F39" i="43"/>
  <c r="I17" i="43"/>
  <c r="F35" i="43"/>
  <c r="J17" i="43"/>
  <c r="F6" i="1"/>
  <c r="G6" i="1" s="1"/>
  <c r="U17" i="39"/>
  <c r="S14" i="35"/>
  <c r="U35" i="21"/>
  <c r="AC35" i="21"/>
  <c r="G8" i="1"/>
  <c r="G9" i="1"/>
  <c r="G10" i="1"/>
  <c r="F48" i="9"/>
  <c r="O52" i="9" s="1"/>
  <c r="AC11" i="39"/>
  <c r="W37" i="37"/>
  <c r="AC44" i="34"/>
  <c r="U13" i="37"/>
  <c r="J37" i="33"/>
  <c r="W37" i="33"/>
  <c r="F106" i="33"/>
  <c r="G106" i="33" s="1"/>
  <c r="H106" i="33" s="1"/>
  <c r="I106" i="33" s="1"/>
  <c r="J106" i="33" s="1"/>
  <c r="K106" i="33" s="1"/>
  <c r="L106" i="33" s="1"/>
  <c r="M106" i="33" s="1"/>
  <c r="J34" i="33"/>
  <c r="F33" i="34"/>
  <c r="S33" i="34" s="1"/>
  <c r="H20" i="36"/>
  <c r="J20" i="36"/>
  <c r="W20" i="36" s="1"/>
  <c r="J27" i="36"/>
  <c r="W27" i="36"/>
  <c r="AC33" i="40"/>
  <c r="H35" i="40"/>
  <c r="AB35" i="40"/>
  <c r="AC29" i="35"/>
  <c r="W29" i="35"/>
  <c r="H35" i="37"/>
  <c r="U35" i="37"/>
  <c r="AC14" i="35"/>
  <c r="H20" i="35"/>
  <c r="U20" i="35" s="1"/>
  <c r="F20" i="35"/>
  <c r="AA20" i="35" s="1"/>
  <c r="AB29" i="36"/>
  <c r="U29" i="36"/>
  <c r="H32" i="37"/>
  <c r="AB32" i="37"/>
  <c r="F96" i="37"/>
  <c r="H27" i="40"/>
  <c r="U27" i="40" s="1"/>
  <c r="F27" i="40"/>
  <c r="S27" i="40" s="1"/>
  <c r="J30" i="40"/>
  <c r="AC30" i="40" s="1"/>
  <c r="F30" i="40"/>
  <c r="AC21" i="40"/>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c r="J39" i="39"/>
  <c r="AC39" i="39"/>
  <c r="F97" i="39"/>
  <c r="G97" i="39" s="1"/>
  <c r="AZ353" i="3"/>
  <c r="AZ354" i="3"/>
  <c r="AZ386" i="3"/>
  <c r="C40" i="11"/>
  <c r="AZ215" i="3"/>
  <c r="AZ223" i="3"/>
  <c r="AZ227" i="3"/>
  <c r="AZ232" i="3"/>
  <c r="AZ235" i="3"/>
  <c r="AZ240" i="3"/>
  <c r="AZ243" i="3"/>
  <c r="AZ248" i="3"/>
  <c r="AZ251" i="3"/>
  <c r="AZ256" i="3"/>
  <c r="AZ259" i="3"/>
  <c r="AZ268" i="3"/>
  <c r="AZ271" i="3"/>
  <c r="AZ280" i="3"/>
  <c r="AZ288" i="3"/>
  <c r="AZ296" i="3"/>
  <c r="AZ29" i="3"/>
  <c r="AZ31" i="3"/>
  <c r="AZ33" i="3"/>
  <c r="AZ66" i="3"/>
  <c r="AZ69" i="3"/>
  <c r="AZ74" i="3"/>
  <c r="AZ77" i="3"/>
  <c r="AZ82"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AA20" i="36" s="1"/>
  <c r="J33" i="34"/>
  <c r="AC33" i="34" s="1"/>
  <c r="H23" i="39"/>
  <c r="U23" i="39" s="1"/>
  <c r="D48" i="9"/>
  <c r="M52" i="9" s="1"/>
  <c r="H86" i="43"/>
  <c r="H82" i="43"/>
  <c r="H87" i="43"/>
  <c r="K9" i="1"/>
  <c r="M9" i="1" s="1"/>
  <c r="AE9" i="1"/>
  <c r="D93" i="9"/>
  <c r="K6" i="1"/>
  <c r="AC26" i="33"/>
  <c r="W26" i="33"/>
  <c r="AB34" i="36"/>
  <c r="U34" i="36"/>
  <c r="AB33" i="36"/>
  <c r="U33" i="36"/>
  <c r="AC12" i="39"/>
  <c r="W12" i="39"/>
  <c r="AC39" i="40"/>
  <c r="W39" i="40"/>
  <c r="AZ401" i="3"/>
  <c r="AZ412" i="3"/>
  <c r="AZ417" i="3"/>
  <c r="AZ428" i="3"/>
  <c r="AZ433" i="3"/>
  <c r="AZ465" i="3"/>
  <c r="N104" i="46"/>
  <c r="W12" i="33"/>
  <c r="AC12" i="33"/>
  <c r="AA32" i="36"/>
  <c r="S32" i="36"/>
  <c r="AZ408" i="3"/>
  <c r="AZ437" i="3"/>
  <c r="AZ441" i="3"/>
  <c r="AZ457" i="3"/>
  <c r="AZ473" i="3"/>
  <c r="AZ490" i="3"/>
  <c r="BL14" i="3"/>
  <c r="AZ266" i="3"/>
  <c r="AC13" i="34"/>
  <c r="W28" i="37"/>
  <c r="S19" i="39"/>
  <c r="F12" i="33"/>
  <c r="AA12" i="33" s="1"/>
  <c r="H12" i="39"/>
  <c r="AB12" i="39"/>
  <c r="F39" i="40"/>
  <c r="BA14" i="3"/>
  <c r="AZ367" i="3"/>
  <c r="AZ213" i="3"/>
  <c r="AZ224" i="3"/>
  <c r="AZ234" i="3"/>
  <c r="AZ238" i="3"/>
  <c r="AZ250" i="3"/>
  <c r="AZ254" i="3"/>
  <c r="AZ281" i="3"/>
  <c r="AZ286" i="3"/>
  <c r="AZ297" i="3"/>
  <c r="AZ149" i="3"/>
  <c r="AZ173" i="3"/>
  <c r="AZ189" i="3"/>
  <c r="AZ197" i="3"/>
  <c r="AZ35" i="3"/>
  <c r="S12" i="1"/>
  <c r="AQ12" i="1" s="1"/>
  <c r="R12" i="1"/>
  <c r="B12" i="1"/>
  <c r="E12" i="1" s="1"/>
  <c r="S10" i="1"/>
  <c r="AQ10" i="1" s="1"/>
  <c r="R10" i="1"/>
  <c r="B10" i="1"/>
  <c r="E10" i="1" s="1"/>
  <c r="D1" i="66"/>
  <c r="E10" i="66" s="1"/>
  <c r="AZ80" i="3"/>
  <c r="AZ84" i="3"/>
  <c r="AZ88" i="3"/>
  <c r="AZ107" i="3"/>
  <c r="AZ111" i="3"/>
  <c r="K12" i="1"/>
  <c r="M12" i="1" s="1"/>
  <c r="O12" i="1" s="1"/>
  <c r="S13" i="1"/>
  <c r="AR13" i="1" s="1"/>
  <c r="R13" i="1"/>
  <c r="S11" i="1"/>
  <c r="R11" i="1"/>
  <c r="S9" i="1"/>
  <c r="AQ9" i="1" s="1"/>
  <c r="R9" i="1"/>
  <c r="J51" i="67"/>
  <c r="C42" i="1"/>
  <c r="H100" i="43"/>
  <c r="C30" i="66"/>
  <c r="E26" i="66"/>
  <c r="AA34" i="33"/>
  <c r="B41" i="1"/>
  <c r="F53" i="9" s="1"/>
  <c r="S22" i="31"/>
  <c r="R22" i="31" s="1"/>
  <c r="B21" i="31" s="1"/>
  <c r="J100" i="43"/>
  <c r="AB37" i="40"/>
  <c r="U35" i="40"/>
  <c r="W38" i="40"/>
  <c r="S17" i="40"/>
  <c r="S23" i="40"/>
  <c r="AC17" i="40"/>
  <c r="AB27" i="40"/>
  <c r="AA19" i="40"/>
  <c r="AA27" i="40"/>
  <c r="U21" i="40"/>
  <c r="AB19" i="40"/>
  <c r="W42" i="39"/>
  <c r="W39" i="39"/>
  <c r="S43" i="39"/>
  <c r="U35" i="39"/>
  <c r="F32" i="39"/>
  <c r="F107" i="39"/>
  <c r="G107" i="39" s="1"/>
  <c r="U25" i="39"/>
  <c r="AB27" i="39"/>
  <c r="U31" i="39"/>
  <c r="J21" i="39"/>
  <c r="F21" i="39"/>
  <c r="G95" i="39"/>
  <c r="H21" i="39"/>
  <c r="W19" i="39"/>
  <c r="U19" i="39"/>
  <c r="S17" i="39"/>
  <c r="S15" i="39"/>
  <c r="AA12" i="39"/>
  <c r="S9" i="39"/>
  <c r="U14" i="39"/>
  <c r="AC13" i="39"/>
  <c r="U12" i="39"/>
  <c r="S23" i="36"/>
  <c r="U13" i="36"/>
  <c r="AC27" i="36"/>
  <c r="AB27" i="36"/>
  <c r="U26" i="36"/>
  <c r="S27" i="36"/>
  <c r="AA26" i="36"/>
  <c r="AA34" i="36"/>
  <c r="S29" i="36"/>
  <c r="AC26" i="36"/>
  <c r="AB14" i="36"/>
  <c r="U22" i="36"/>
  <c r="S16" i="36"/>
  <c r="S24" i="36"/>
  <c r="U23" i="36"/>
  <c r="U16" i="36"/>
  <c r="U10" i="36"/>
  <c r="AA25" i="35"/>
  <c r="W24"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S25" i="37"/>
  <c r="S26" i="37"/>
  <c r="AC9" i="37"/>
  <c r="AC29" i="37"/>
  <c r="U29" i="37"/>
  <c r="S32" i="37"/>
  <c r="W30" i="37"/>
  <c r="AA38" i="37"/>
  <c r="U32" i="37"/>
  <c r="W38" i="37"/>
  <c r="AC35" i="37"/>
  <c r="W39" i="37"/>
  <c r="S30" i="37"/>
  <c r="S37" i="37"/>
  <c r="J17" i="37"/>
  <c r="W17" i="37" s="1"/>
  <c r="G73" i="37"/>
  <c r="F17" i="37"/>
  <c r="AA17" i="37"/>
  <c r="F75" i="37"/>
  <c r="G75" i="37" s="1"/>
  <c r="F19" i="37"/>
  <c r="F79" i="37"/>
  <c r="F23" i="37"/>
  <c r="S23" i="37"/>
  <c r="U15" i="37"/>
  <c r="AC13" i="37"/>
  <c r="U9" i="37"/>
  <c r="AA9" i="37"/>
  <c r="H10" i="37"/>
  <c r="AB10" i="37" s="1"/>
  <c r="F63" i="37"/>
  <c r="G63" i="37" s="1"/>
  <c r="H63" i="37" s="1"/>
  <c r="I63" i="37" s="1"/>
  <c r="J63" i="37" s="1"/>
  <c r="K63" i="37" s="1"/>
  <c r="L63" i="37" s="1"/>
  <c r="M63" i="37" s="1"/>
  <c r="F11" i="37"/>
  <c r="S11" i="37"/>
  <c r="W25" i="34"/>
  <c r="AB8" i="34"/>
  <c r="AA33" i="34"/>
  <c r="U43" i="34"/>
  <c r="AC39" i="34"/>
  <c r="W41" i="34"/>
  <c r="AC42" i="34"/>
  <c r="AB35" i="34"/>
  <c r="S43" i="34"/>
  <c r="AB41" i="34"/>
  <c r="AA45" i="34"/>
  <c r="AA25" i="34"/>
  <c r="S17" i="34"/>
  <c r="U27" i="34"/>
  <c r="U15"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S19" i="33" s="1"/>
  <c r="W19" i="33"/>
  <c r="J17" i="33"/>
  <c r="F79" i="33"/>
  <c r="S15" i="33"/>
  <c r="W15" i="33"/>
  <c r="I66" i="33"/>
  <c r="J10" i="33"/>
  <c r="H10" i="33"/>
  <c r="U10" i="33" s="1"/>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BL17" i="3"/>
  <c r="AZ17" i="3" s="1"/>
  <c r="BL13" i="3"/>
  <c r="J56" i="9"/>
  <c r="J57" i="9"/>
  <c r="A24" i="51"/>
  <c r="B18" i="72"/>
  <c r="U29" i="34"/>
  <c r="E5" i="6"/>
  <c r="D9" i="69" s="1"/>
  <c r="C9" i="69" s="1"/>
  <c r="P10" i="1"/>
  <c r="H22" i="43"/>
  <c r="H101" i="43"/>
  <c r="H107" i="43" s="1"/>
  <c r="M101" i="43"/>
  <c r="E101" i="43"/>
  <c r="E104" i="43" s="1"/>
  <c r="E32" i="6"/>
  <c r="L19" i="6"/>
  <c r="G1" i="68"/>
  <c r="K1" i="12"/>
  <c r="T12" i="1"/>
  <c r="AR10" i="1"/>
  <c r="E19" i="69"/>
  <c r="E19" i="68"/>
  <c r="E19" i="11"/>
  <c r="E1" i="73"/>
  <c r="G41" i="69"/>
  <c r="G22" i="69"/>
  <c r="G41" i="68"/>
  <c r="G22" i="68"/>
  <c r="G27" i="12"/>
  <c r="G26" i="12"/>
  <c r="G41" i="11"/>
  <c r="G22" i="11"/>
  <c r="G25" i="12"/>
  <c r="C100" i="43"/>
  <c r="E11" i="43"/>
  <c r="E10" i="43"/>
  <c r="E9" i="43"/>
  <c r="E8" i="43"/>
  <c r="C7" i="43" s="1"/>
  <c r="E81" i="43"/>
  <c r="B79" i="43" s="1"/>
  <c r="AH11" i="43"/>
  <c r="AD11" i="43"/>
  <c r="Z11" i="43"/>
  <c r="AI11" i="43"/>
  <c r="AE11" i="43"/>
  <c r="AA11" i="43"/>
  <c r="AA13" i="43" s="1"/>
  <c r="E48" i="43"/>
  <c r="B46" i="43" s="1"/>
  <c r="E70" i="43"/>
  <c r="B68" i="43" s="1"/>
  <c r="F100" i="43"/>
  <c r="H17" i="43"/>
  <c r="D9" i="53"/>
  <c r="B25" i="72" s="1"/>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M7" i="1" s="1"/>
  <c r="O7" i="1" s="1"/>
  <c r="G1" i="15"/>
  <c r="G1" i="69"/>
  <c r="G1" i="67"/>
  <c r="W23" i="40"/>
  <c r="U32" i="40"/>
  <c r="AB31" i="40"/>
  <c r="S37" i="40"/>
  <c r="AB28" i="40"/>
  <c r="W28" i="40"/>
  <c r="W34" i="40"/>
  <c r="W19" i="40"/>
  <c r="S36" i="40"/>
  <c r="AC14" i="40"/>
  <c r="S33" i="40"/>
  <c r="AA15" i="40"/>
  <c r="U11" i="40"/>
  <c r="U15" i="40"/>
  <c r="AB17" i="40"/>
  <c r="U8" i="40"/>
  <c r="S8" i="40"/>
  <c r="AA39" i="39"/>
  <c r="AC41" i="39"/>
  <c r="U42" i="39"/>
  <c r="AB23" i="39"/>
  <c r="AB41" i="39"/>
  <c r="W25" i="39"/>
  <c r="AC25" i="39"/>
  <c r="U13" i="39"/>
  <c r="AB13" i="39"/>
  <c r="S13" i="39"/>
  <c r="S14" i="39"/>
  <c r="AA14" i="39"/>
  <c r="U43" i="39"/>
  <c r="AB43" i="39"/>
  <c r="AB11" i="39"/>
  <c r="U11" i="39"/>
  <c r="S27" i="39"/>
  <c r="W17" i="39"/>
  <c r="AC17" i="39"/>
  <c r="W31" i="39"/>
  <c r="AC31" i="39"/>
  <c r="S23" i="39"/>
  <c r="AA45" i="39"/>
  <c r="AB39" i="39"/>
  <c r="W34" i="39"/>
  <c r="S8" i="39"/>
  <c r="AC25" i="36"/>
  <c r="U32" i="36"/>
  <c r="W29" i="36"/>
  <c r="AC20" i="36"/>
  <c r="AB28" i="36"/>
  <c r="W9" i="36"/>
  <c r="W22" i="36"/>
  <c r="W23" i="36"/>
  <c r="S9" i="36"/>
  <c r="AB20" i="35"/>
  <c r="U25" i="35"/>
  <c r="W33" i="35"/>
  <c r="AA30" i="35"/>
  <c r="U24" i="35"/>
  <c r="W35" i="35"/>
  <c r="AA16" i="35"/>
  <c r="AA35" i="37"/>
  <c r="W36" i="37"/>
  <c r="S27" i="37"/>
  <c r="W32" i="37"/>
  <c r="U38" i="37"/>
  <c r="AB37" i="37"/>
  <c r="AC34" i="37"/>
  <c r="AB35" i="37"/>
  <c r="AA11" i="37"/>
  <c r="AA31" i="37"/>
  <c r="U19" i="37"/>
  <c r="AA29" i="37"/>
  <c r="AA8" i="37"/>
  <c r="U8" i="37"/>
  <c r="AA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AB44" i="33"/>
  <c r="AA30" i="33"/>
  <c r="AC14" i="33"/>
  <c r="W14" i="33"/>
  <c r="AC30" i="33"/>
  <c r="W30" i="33"/>
  <c r="S31" i="33"/>
  <c r="AA31" i="33"/>
  <c r="W13" i="33"/>
  <c r="AC13" i="33"/>
  <c r="U15" i="33"/>
  <c r="S11" i="33"/>
  <c r="AC28" i="33"/>
  <c r="S28" i="33"/>
  <c r="W9" i="33"/>
  <c r="S44" i="21"/>
  <c r="U28" i="21"/>
  <c r="AA11" i="21"/>
  <c r="S45" i="21"/>
  <c r="I101" i="21"/>
  <c r="J101" i="21"/>
  <c r="K101" i="21" s="1"/>
  <c r="L101" i="21" s="1"/>
  <c r="M101" i="21" s="1"/>
  <c r="F33" i="21"/>
  <c r="S33" i="21" s="1"/>
  <c r="J33" i="21"/>
  <c r="H33" i="21"/>
  <c r="AB33" i="21" s="1"/>
  <c r="F37" i="21"/>
  <c r="AA37" i="21" s="1"/>
  <c r="AA26" i="21"/>
  <c r="AB46" i="21"/>
  <c r="U40" i="21"/>
  <c r="AB31" i="21"/>
  <c r="U31" i="21"/>
  <c r="AC15" i="21"/>
  <c r="AB13" i="21"/>
  <c r="S35" i="21"/>
  <c r="J37" i="21"/>
  <c r="W37" i="21" s="1"/>
  <c r="H15" i="21"/>
  <c r="U15" i="21" s="1"/>
  <c r="J17" i="21"/>
  <c r="AC17" i="21" s="1"/>
  <c r="AC19" i="21"/>
  <c r="W39" i="21"/>
  <c r="AC14" i="21"/>
  <c r="S46" i="21"/>
  <c r="H45" i="21"/>
  <c r="U45" i="21"/>
  <c r="F29" i="21"/>
  <c r="S29" i="21"/>
  <c r="AC38" i="21"/>
  <c r="H32" i="21"/>
  <c r="AB32" i="21" s="1"/>
  <c r="H9" i="21"/>
  <c r="J9" i="21"/>
  <c r="W9" i="21" s="1"/>
  <c r="J32" i="21"/>
  <c r="F32" i="21"/>
  <c r="AA32" i="21" s="1"/>
  <c r="U17" i="21"/>
  <c r="W29" i="21"/>
  <c r="S19" i="21"/>
  <c r="S9" i="21"/>
  <c r="AA9" i="21"/>
  <c r="K141" i="21"/>
  <c r="K144" i="21"/>
  <c r="K143" i="21"/>
  <c r="U27" i="21"/>
  <c r="AB25" i="21"/>
  <c r="AB44" i="21"/>
  <c r="AA30" i="21"/>
  <c r="W42" i="21"/>
  <c r="AC45" i="21"/>
  <c r="F10" i="21"/>
  <c r="K145" i="21"/>
  <c r="W25" i="21"/>
  <c r="AA29"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P6" i="1" s="1"/>
  <c r="F30" i="68"/>
  <c r="C30" i="68" s="1"/>
  <c r="F30" i="11"/>
  <c r="C48" i="11" s="1"/>
  <c r="F28" i="67"/>
  <c r="C28" i="67" s="1"/>
  <c r="F31" i="12"/>
  <c r="F52" i="9"/>
  <c r="M18" i="67"/>
  <c r="F32" i="67"/>
  <c r="F60" i="67" s="1"/>
  <c r="F30" i="69"/>
  <c r="C48" i="69" s="1"/>
  <c r="F32" i="15"/>
  <c r="F60" i="15" s="1"/>
  <c r="M18" i="15"/>
  <c r="F28" i="15"/>
  <c r="S7" i="1"/>
  <c r="T7" i="1" s="1"/>
  <c r="E7" i="70"/>
  <c r="C24" i="12"/>
  <c r="AA39" i="40"/>
  <c r="S39" i="40"/>
  <c r="S12" i="33"/>
  <c r="C16" i="43"/>
  <c r="D5" i="43" s="1"/>
  <c r="D68" i="9"/>
  <c r="F54" i="9"/>
  <c r="J32" i="39"/>
  <c r="H107" i="39"/>
  <c r="I107" i="39" s="1"/>
  <c r="J107" i="39" s="1"/>
  <c r="K107" i="39" s="1"/>
  <c r="L107" i="39" s="1"/>
  <c r="M107" i="39" s="1"/>
  <c r="H32" i="39"/>
  <c r="U32" i="39" s="1"/>
  <c r="AA32" i="39"/>
  <c r="S32" i="39"/>
  <c r="AB21" i="39"/>
  <c r="U21" i="39"/>
  <c r="AA21" i="39"/>
  <c r="S21" i="39"/>
  <c r="AC21" i="39"/>
  <c r="W21" i="39"/>
  <c r="S26" i="35"/>
  <c r="U9" i="35"/>
  <c r="AA9" i="35"/>
  <c r="S9" i="35"/>
  <c r="AC26" i="35"/>
  <c r="W26" i="35"/>
  <c r="AB26" i="35"/>
  <c r="AC17" i="37"/>
  <c r="S17" i="37"/>
  <c r="J19" i="37"/>
  <c r="W19" i="37" s="1"/>
  <c r="S19" i="37"/>
  <c r="AA19" i="37"/>
  <c r="AA23" i="37"/>
  <c r="J23" i="37"/>
  <c r="G79" i="37"/>
  <c r="J10" i="37"/>
  <c r="H11" i="37"/>
  <c r="AB11" i="37" s="1"/>
  <c r="U10" i="37"/>
  <c r="H11" i="34"/>
  <c r="AB11" i="34" s="1"/>
  <c r="U10" i="34"/>
  <c r="J10" i="34"/>
  <c r="I67" i="34"/>
  <c r="AB41" i="33"/>
  <c r="U41" i="33"/>
  <c r="W35" i="33"/>
  <c r="AC35" i="33"/>
  <c r="H111" i="33"/>
  <c r="I111" i="33"/>
  <c r="J111" i="33" s="1"/>
  <c r="K111" i="33" s="1"/>
  <c r="L111" i="33" s="1"/>
  <c r="M111" i="33" s="1"/>
  <c r="J36" i="33"/>
  <c r="H36" i="33"/>
  <c r="U36" i="33" s="1"/>
  <c r="AA36" i="33"/>
  <c r="AC32" i="33"/>
  <c r="W32" i="33"/>
  <c r="AB27" i="33"/>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D121" i="9"/>
  <c r="D7" i="52" s="1"/>
  <c r="K120" i="9"/>
  <c r="J59" i="9"/>
  <c r="J61" i="9" s="1"/>
  <c r="B5" i="62"/>
  <c r="B73" i="72" s="1"/>
  <c r="AP7" i="1"/>
  <c r="AB45" i="21"/>
  <c r="AC33" i="21"/>
  <c r="W33" i="21"/>
  <c r="AA33" i="21"/>
  <c r="W32" i="21"/>
  <c r="AC32" i="21"/>
  <c r="AB9" i="21"/>
  <c r="U9" i="21"/>
  <c r="S32" i="21"/>
  <c r="AC9" i="21"/>
  <c r="U32" i="21"/>
  <c r="AA10" i="21"/>
  <c r="S10" i="21"/>
  <c r="A18" i="62"/>
  <c r="B64" i="72" s="1"/>
  <c r="AB32" i="39"/>
  <c r="AC32" i="39"/>
  <c r="W32" i="39"/>
  <c r="AC19" i="37"/>
  <c r="W23" i="37"/>
  <c r="AC23" i="37"/>
  <c r="U11" i="37"/>
  <c r="J11" i="37"/>
  <c r="W10" i="37"/>
  <c r="AC10" i="37"/>
  <c r="U11" i="34"/>
  <c r="AC10" i="34"/>
  <c r="W10" i="34"/>
  <c r="J11" i="34"/>
  <c r="W11" i="34" s="1"/>
  <c r="AC36" i="33"/>
  <c r="W36" i="33"/>
  <c r="AB36" i="33"/>
  <c r="AC27" i="33"/>
  <c r="AC25" i="33"/>
  <c r="AA23" i="33"/>
  <c r="S23" i="33"/>
  <c r="U19" i="33"/>
  <c r="S17" i="33"/>
  <c r="U17" i="33"/>
  <c r="AB17" i="33"/>
  <c r="U23" i="21"/>
  <c r="AB23" i="21"/>
  <c r="W23" i="21"/>
  <c r="F1" i="67"/>
  <c r="Q52" i="67"/>
  <c r="AC11" i="37"/>
  <c r="W11" i="37"/>
  <c r="AC11" i="34"/>
  <c r="R7" i="1"/>
  <c r="C13" i="12"/>
  <c r="F34" i="11"/>
  <c r="F11" i="12"/>
  <c r="F34" i="68"/>
  <c r="R8" i="1"/>
  <c r="AE7" i="1"/>
  <c r="AE8" i="1"/>
  <c r="AG6" i="1"/>
  <c r="H109" i="9"/>
  <c r="D124" i="9" s="1"/>
  <c r="D16" i="53"/>
  <c r="B34" i="72" s="1"/>
  <c r="J7" i="33"/>
  <c r="W7" i="33" s="1"/>
  <c r="F7" i="33"/>
  <c r="S7" i="33" s="1"/>
  <c r="H7" i="33"/>
  <c r="U7" i="33" s="1"/>
  <c r="AA7" i="33"/>
  <c r="R48" i="33" s="1"/>
  <c r="H112" i="9"/>
  <c r="D21" i="53"/>
  <c r="B39" i="72" s="1"/>
  <c r="H111" i="9"/>
  <c r="D126" i="9" s="1"/>
  <c r="D19" i="53"/>
  <c r="B38" i="72" s="1"/>
  <c r="D59" i="9"/>
  <c r="M55" i="9"/>
  <c r="AD3" i="71"/>
  <c r="M24" i="67"/>
  <c r="F37" i="15"/>
  <c r="D2" i="33"/>
  <c r="B12" i="76"/>
  <c r="F8" i="67"/>
  <c r="J15" i="67"/>
  <c r="M6" i="67"/>
  <c r="M29" i="67"/>
  <c r="F38" i="15"/>
  <c r="F37" i="67"/>
  <c r="D2" i="35"/>
  <c r="B7" i="76"/>
  <c r="F8" i="15"/>
  <c r="E9" i="76"/>
  <c r="F13" i="15"/>
  <c r="J15" i="15"/>
  <c r="E2" i="69"/>
  <c r="AO11" i="1"/>
  <c r="E13" i="76"/>
  <c r="B8" i="76"/>
  <c r="B11" i="76"/>
  <c r="C76" i="15"/>
  <c r="F43" i="15"/>
  <c r="F6" i="67"/>
  <c r="F13" i="67"/>
  <c r="E8" i="76"/>
  <c r="AO7" i="1"/>
  <c r="F16" i="67"/>
  <c r="F35" i="67"/>
  <c r="M27" i="15"/>
  <c r="M22" i="67"/>
  <c r="M28" i="15"/>
  <c r="D2" i="36"/>
  <c r="AO13" i="1"/>
  <c r="AO9" i="1"/>
  <c r="F40" i="67"/>
  <c r="D2" i="37"/>
  <c r="L48" i="15"/>
  <c r="E10" i="76"/>
  <c r="AO12" i="1"/>
  <c r="B13" i="76"/>
  <c r="D2" i="34"/>
  <c r="M8" i="67"/>
  <c r="F6" i="15"/>
  <c r="F20" i="31"/>
  <c r="M26" i="67"/>
  <c r="F9" i="15"/>
  <c r="F42" i="67"/>
  <c r="E2" i="68"/>
  <c r="B9" i="76"/>
  <c r="M8" i="15"/>
  <c r="M22" i="15"/>
  <c r="M21" i="67"/>
  <c r="L47" i="15"/>
  <c r="E7" i="76"/>
  <c r="B10" i="76"/>
  <c r="E11" i="76"/>
  <c r="D2" i="21"/>
  <c r="AO8" i="1"/>
  <c r="E12" i="76"/>
  <c r="AO10" i="1"/>
  <c r="L27" i="6" l="1"/>
  <c r="C36" i="69"/>
  <c r="AR12" i="1"/>
  <c r="G14" i="3"/>
  <c r="AZ16" i="3"/>
  <c r="AZ160" i="3"/>
  <c r="AZ148" i="3"/>
  <c r="AZ143" i="3"/>
  <c r="AZ119" i="3"/>
  <c r="BA117" i="3"/>
  <c r="AZ117" i="3" s="1"/>
  <c r="BL117" i="3"/>
  <c r="BA118" i="3"/>
  <c r="AZ118" i="3" s="1"/>
  <c r="BA120" i="3"/>
  <c r="BL122" i="3"/>
  <c r="BA133" i="3"/>
  <c r="BL133" i="3"/>
  <c r="BA134" i="3"/>
  <c r="BL134" i="3"/>
  <c r="BA141" i="3"/>
  <c r="AZ141" i="3" s="1"/>
  <c r="BA142" i="3"/>
  <c r="AZ142" i="3" s="1"/>
  <c r="BL143" i="3"/>
  <c r="BA145" i="3"/>
  <c r="AZ145" i="3" s="1"/>
  <c r="BA146" i="3"/>
  <c r="AZ146" i="3" s="1"/>
  <c r="BL147" i="3"/>
  <c r="AZ147" i="3" s="1"/>
  <c r="BL150" i="3"/>
  <c r="AZ150" i="3" s="1"/>
  <c r="BA152" i="3"/>
  <c r="AZ152" i="3" s="1"/>
  <c r="BL153" i="3"/>
  <c r="BA157" i="3"/>
  <c r="AZ157" i="3" s="1"/>
  <c r="BA158" i="3"/>
  <c r="AZ158" i="3" s="1"/>
  <c r="BL159" i="3"/>
  <c r="AZ159" i="3" s="1"/>
  <c r="BL165" i="3"/>
  <c r="AZ165" i="3" s="1"/>
  <c r="BL170" i="3"/>
  <c r="AZ170" i="3" s="1"/>
  <c r="BA172" i="3"/>
  <c r="AZ172" i="3" s="1"/>
  <c r="BL181" i="3"/>
  <c r="AZ181" i="3" s="1"/>
  <c r="BL186" i="3"/>
  <c r="AZ186" i="3" s="1"/>
  <c r="BA188" i="3"/>
  <c r="AZ188" i="3" s="1"/>
  <c r="BA193" i="3"/>
  <c r="AZ193" i="3" s="1"/>
  <c r="BA194" i="3"/>
  <c r="AZ194" i="3" s="1"/>
  <c r="BL195" i="3"/>
  <c r="AZ195" i="3" s="1"/>
  <c r="BL198" i="3"/>
  <c r="AZ198" i="3" s="1"/>
  <c r="BA200" i="3"/>
  <c r="AZ200" i="3" s="1"/>
  <c r="BL18" i="3"/>
  <c r="BL20" i="3"/>
  <c r="BL22" i="3"/>
  <c r="BL24" i="3"/>
  <c r="BL26" i="3"/>
  <c r="BL16" i="3"/>
  <c r="T8" i="1"/>
  <c r="T13" i="1"/>
  <c r="AQ13" i="1"/>
  <c r="T10" i="1"/>
  <c r="F104" i="43"/>
  <c r="F107" i="43"/>
  <c r="F106" i="43"/>
  <c r="F105" i="43"/>
  <c r="F102" i="43"/>
  <c r="F103" i="43"/>
  <c r="F109" i="43"/>
  <c r="AZ527" i="3"/>
  <c r="AZ523" i="3"/>
  <c r="U13" i="40"/>
  <c r="AB13" i="40"/>
  <c r="AC27" i="40"/>
  <c r="W27" i="40"/>
  <c r="AZ524" i="3"/>
  <c r="AZ518" i="3"/>
  <c r="AZ517" i="3"/>
  <c r="AZ514" i="3"/>
  <c r="M109" i="43"/>
  <c r="W34" i="33"/>
  <c r="AC34" i="33"/>
  <c r="AZ380" i="3"/>
  <c r="AZ311" i="3"/>
  <c r="AA25" i="39"/>
  <c r="S25" i="39"/>
  <c r="AA15" i="37"/>
  <c r="S15" i="37"/>
  <c r="AZ495" i="3"/>
  <c r="AZ513" i="3"/>
  <c r="AZ500" i="3"/>
  <c r="W13" i="40"/>
  <c r="AC13" i="40"/>
  <c r="U28" i="37"/>
  <c r="AB28" i="37"/>
  <c r="AC47" i="34"/>
  <c r="W47" i="34"/>
  <c r="AC31" i="34"/>
  <c r="W31" i="34"/>
  <c r="U23" i="34"/>
  <c r="AB23" i="34"/>
  <c r="AA37" i="39"/>
  <c r="S37" i="39"/>
  <c r="W11" i="40"/>
  <c r="AC11" i="40"/>
  <c r="AA35" i="40"/>
  <c r="S35" i="40"/>
  <c r="S39" i="37"/>
  <c r="AA39" i="37"/>
  <c r="AB36" i="39"/>
  <c r="U36" i="39"/>
  <c r="AB43" i="21"/>
  <c r="U43" i="21"/>
  <c r="AA34" i="21"/>
  <c r="S34" i="21"/>
  <c r="H23" i="35"/>
  <c r="J23" i="35"/>
  <c r="F23" i="35"/>
  <c r="J11" i="36"/>
  <c r="H11" i="36"/>
  <c r="F11" i="36"/>
  <c r="S31" i="36"/>
  <c r="AA31" i="36"/>
  <c r="J12" i="37"/>
  <c r="H12" i="37"/>
  <c r="F12" i="37"/>
  <c r="BA549" i="3"/>
  <c r="AZ549" i="3" s="1"/>
  <c r="BA541" i="3"/>
  <c r="AZ541" i="3" s="1"/>
  <c r="BL539" i="3"/>
  <c r="AZ539" i="3" s="1"/>
  <c r="BA537" i="3"/>
  <c r="AZ537" i="3" s="1"/>
  <c r="BL535" i="3"/>
  <c r="AZ535" i="3" s="1"/>
  <c r="BA533" i="3"/>
  <c r="AZ533" i="3" s="1"/>
  <c r="BL531" i="3"/>
  <c r="AZ531" i="3" s="1"/>
  <c r="BA529" i="3"/>
  <c r="AZ529" i="3" s="1"/>
  <c r="BL527" i="3"/>
  <c r="BA525" i="3"/>
  <c r="AZ525" i="3" s="1"/>
  <c r="BL523" i="3"/>
  <c r="BA521" i="3"/>
  <c r="AZ521" i="3" s="1"/>
  <c r="BL519" i="3"/>
  <c r="BA519" i="3"/>
  <c r="AZ519" i="3" s="1"/>
  <c r="BL515" i="3"/>
  <c r="BA515" i="3"/>
  <c r="AZ515" i="3" s="1"/>
  <c r="BL511" i="3"/>
  <c r="BA511" i="3"/>
  <c r="AZ511" i="3" s="1"/>
  <c r="BA509" i="3"/>
  <c r="AZ509" i="3" s="1"/>
  <c r="BL508" i="3"/>
  <c r="BA508" i="3"/>
  <c r="BL506" i="3"/>
  <c r="AZ506" i="3" s="1"/>
  <c r="BL504" i="3"/>
  <c r="BA504" i="3"/>
  <c r="AZ504" i="3" s="1"/>
  <c r="BA502" i="3"/>
  <c r="AZ502" i="3" s="1"/>
  <c r="BL498" i="3"/>
  <c r="BA498" i="3"/>
  <c r="BL496" i="3"/>
  <c r="BA496" i="3"/>
  <c r="BT5" i="3"/>
  <c r="G28" i="6" s="1"/>
  <c r="BM5" i="3"/>
  <c r="F29" i="6" s="1"/>
  <c r="BJ5" i="3"/>
  <c r="BB5" i="3"/>
  <c r="E8" i="6" s="1"/>
  <c r="BS5" i="3"/>
  <c r="F28" i="6" s="1"/>
  <c r="F30" i="6" s="1"/>
  <c r="AC5" i="3"/>
  <c r="D20" i="53"/>
  <c r="B40" i="72" s="1"/>
  <c r="H110" i="9"/>
  <c r="D18" i="53" s="1"/>
  <c r="B35" i="72" s="1"/>
  <c r="C65" i="40"/>
  <c r="AR8" i="1"/>
  <c r="M103" i="43"/>
  <c r="J22" i="43"/>
  <c r="AB15" i="21"/>
  <c r="S37" i="21"/>
  <c r="AC37" i="21"/>
  <c r="AA19" i="33"/>
  <c r="S28" i="21"/>
  <c r="AA15" i="21"/>
  <c r="W17" i="21"/>
  <c r="AA31" i="21"/>
  <c r="F13" i="21"/>
  <c r="W30" i="21"/>
  <c r="AB37" i="21"/>
  <c r="W8" i="21"/>
  <c r="AB14" i="21"/>
  <c r="AB42" i="21"/>
  <c r="W8" i="33"/>
  <c r="U37" i="33"/>
  <c r="S33" i="33"/>
  <c r="AB47" i="34"/>
  <c r="AC45" i="34"/>
  <c r="AB40" i="34"/>
  <c r="S33" i="37"/>
  <c r="U36" i="37"/>
  <c r="S28" i="37"/>
  <c r="S35" i="35"/>
  <c r="S24" i="35"/>
  <c r="AC25" i="35"/>
  <c r="AA13" i="36"/>
  <c r="U25" i="36"/>
  <c r="S28" i="36"/>
  <c r="S20" i="36"/>
  <c r="U38" i="39"/>
  <c r="S31" i="40"/>
  <c r="W37" i="40"/>
  <c r="Y11" i="43"/>
  <c r="Y13" i="43" s="1"/>
  <c r="AC11" i="43"/>
  <c r="AG11" i="43"/>
  <c r="Z7" i="43"/>
  <c r="AB11" i="43"/>
  <c r="AB13" i="43" s="1"/>
  <c r="AF11" i="43"/>
  <c r="AF13" i="43" s="1"/>
  <c r="AJ11" i="43"/>
  <c r="AJ13" i="43" s="1"/>
  <c r="G22" i="43"/>
  <c r="I101" i="43"/>
  <c r="D101" i="43"/>
  <c r="L101" i="43"/>
  <c r="AA36" i="21"/>
  <c r="AA10" i="33"/>
  <c r="U9" i="33"/>
  <c r="W43" i="33"/>
  <c r="S10" i="34"/>
  <c r="S23" i="34"/>
  <c r="AA29" i="34"/>
  <c r="U28" i="34"/>
  <c r="W34" i="34"/>
  <c r="U39" i="34"/>
  <c r="U44" i="34"/>
  <c r="S27" i="34"/>
  <c r="AA13" i="37"/>
  <c r="U23" i="37"/>
  <c r="AB17" i="37"/>
  <c r="AC15" i="37"/>
  <c r="S36" i="37"/>
  <c r="AB31" i="37"/>
  <c r="W27" i="37"/>
  <c r="U29" i="35"/>
  <c r="AA22" i="36"/>
  <c r="S33" i="36"/>
  <c r="W27" i="34"/>
  <c r="U20" i="36"/>
  <c r="AB20" i="36"/>
  <c r="AA12" i="40"/>
  <c r="U10" i="21"/>
  <c r="H52" i="43"/>
  <c r="H50" i="43"/>
  <c r="H48" i="43"/>
  <c r="AZ387" i="3"/>
  <c r="AZ310" i="3"/>
  <c r="AZ351" i="3"/>
  <c r="AZ378" i="3"/>
  <c r="W15" i="39"/>
  <c r="AC15" i="39"/>
  <c r="AB33" i="40"/>
  <c r="AA25" i="21"/>
  <c r="U11" i="33"/>
  <c r="U14" i="40"/>
  <c r="AA41" i="34"/>
  <c r="AA14" i="36"/>
  <c r="S14" i="36"/>
  <c r="AZ557" i="3"/>
  <c r="AZ581" i="3"/>
  <c r="AZ568" i="3"/>
  <c r="AZ576" i="3"/>
  <c r="BL494" i="3"/>
  <c r="AZ494" i="3" s="1"/>
  <c r="AB11" i="21"/>
  <c r="AA14" i="37"/>
  <c r="AC10" i="36"/>
  <c r="W10" i="36"/>
  <c r="F13" i="40"/>
  <c r="AC35" i="40"/>
  <c r="W35" i="40"/>
  <c r="AB12" i="40"/>
  <c r="U12" i="40"/>
  <c r="S25" i="36"/>
  <c r="AA25" i="36"/>
  <c r="AB35" i="35"/>
  <c r="U35" i="35"/>
  <c r="U13" i="35"/>
  <c r="AB13" i="35"/>
  <c r="S13" i="35"/>
  <c r="AA13" i="35"/>
  <c r="S47" i="34"/>
  <c r="AA47" i="34"/>
  <c r="AB30" i="33"/>
  <c r="U30" i="33"/>
  <c r="W12" i="40"/>
  <c r="J13" i="21"/>
  <c r="AA28" i="40"/>
  <c r="S28" i="40"/>
  <c r="S15" i="34"/>
  <c r="W17" i="34"/>
  <c r="AC17" i="34"/>
  <c r="S8" i="33"/>
  <c r="W28" i="34"/>
  <c r="AC28" i="34"/>
  <c r="AA28" i="34"/>
  <c r="S28" i="34"/>
  <c r="AB33" i="35"/>
  <c r="U33" i="35"/>
  <c r="W34" i="36"/>
  <c r="AC34" i="36"/>
  <c r="W15" i="40"/>
  <c r="AC15" i="40"/>
  <c r="AB32" i="33"/>
  <c r="U32" i="33"/>
  <c r="AC27" i="39"/>
  <c r="W27" i="39"/>
  <c r="AA31" i="39"/>
  <c r="S31" i="39"/>
  <c r="AC36" i="39"/>
  <c r="W36" i="39"/>
  <c r="W45" i="39"/>
  <c r="AC45" i="39"/>
  <c r="BL587" i="3"/>
  <c r="BA587" i="3"/>
  <c r="AB34" i="35"/>
  <c r="U34" i="35"/>
  <c r="H40" i="37"/>
  <c r="J40" i="37"/>
  <c r="F40" i="37"/>
  <c r="U25" i="37"/>
  <c r="AB25" i="37"/>
  <c r="S39" i="34"/>
  <c r="AA39" i="34"/>
  <c r="AA30" i="40"/>
  <c r="S30" i="40"/>
  <c r="U15" i="39"/>
  <c r="AB15" i="39"/>
  <c r="W36" i="40"/>
  <c r="AC36" i="40"/>
  <c r="S32" i="40"/>
  <c r="AA32" i="40"/>
  <c r="AC14" i="36"/>
  <c r="W14" i="36"/>
  <c r="U30" i="21"/>
  <c r="AB30" i="21"/>
  <c r="AA41" i="33"/>
  <c r="S41" i="33"/>
  <c r="AB26" i="21"/>
  <c r="U26" i="21"/>
  <c r="BA585" i="3"/>
  <c r="AZ585" i="3" s="1"/>
  <c r="B113" i="43"/>
  <c r="G118" i="43" s="1"/>
  <c r="H118" i="43" s="1"/>
  <c r="F22" i="43"/>
  <c r="E22" i="43"/>
  <c r="AC33" i="33"/>
  <c r="W33" i="33"/>
  <c r="AA34" i="34"/>
  <c r="S34" i="34"/>
  <c r="J37" i="39"/>
  <c r="H37" i="39"/>
  <c r="AB9" i="40"/>
  <c r="U9" i="40"/>
  <c r="AB38" i="40"/>
  <c r="U38" i="40"/>
  <c r="U41" i="21"/>
  <c r="AB41" i="21"/>
  <c r="AZ551" i="3"/>
  <c r="BA540" i="3"/>
  <c r="AZ540" i="3" s="1"/>
  <c r="BA538" i="3"/>
  <c r="AZ538" i="3" s="1"/>
  <c r="BL536" i="3"/>
  <c r="BA536" i="3"/>
  <c r="BL534" i="3"/>
  <c r="BA534" i="3"/>
  <c r="BL532" i="3"/>
  <c r="BA532" i="3"/>
  <c r="BA530" i="3"/>
  <c r="AZ530" i="3" s="1"/>
  <c r="BL528" i="3"/>
  <c r="AZ528" i="3" s="1"/>
  <c r="BL526" i="3"/>
  <c r="AZ526" i="3" s="1"/>
  <c r="BL524" i="3"/>
  <c r="BL520" i="3"/>
  <c r="BA520" i="3"/>
  <c r="BL516" i="3"/>
  <c r="AZ516" i="3" s="1"/>
  <c r="BL514" i="3"/>
  <c r="BA512" i="3"/>
  <c r="AZ512" i="3" s="1"/>
  <c r="BA510" i="3"/>
  <c r="AZ510" i="3" s="1"/>
  <c r="BL507" i="3"/>
  <c r="AZ507" i="3" s="1"/>
  <c r="BA505" i="3"/>
  <c r="AZ505" i="3" s="1"/>
  <c r="BL503" i="3"/>
  <c r="AZ503" i="3" s="1"/>
  <c r="BA501" i="3"/>
  <c r="AZ501" i="3" s="1"/>
  <c r="BA497" i="3"/>
  <c r="AZ497" i="3" s="1"/>
  <c r="BF5" i="3"/>
  <c r="BN5" i="3"/>
  <c r="G29" i="6" s="1"/>
  <c r="E29" i="6" s="1"/>
  <c r="BK5" i="3"/>
  <c r="BG5" i="3"/>
  <c r="BA493" i="3"/>
  <c r="AZ493" i="3" s="1"/>
  <c r="BC5" i="3"/>
  <c r="C28" i="15"/>
  <c r="J12" i="36"/>
  <c r="H12" i="36"/>
  <c r="J24" i="36"/>
  <c r="H24" i="36"/>
  <c r="G551" i="3"/>
  <c r="BL548" i="3"/>
  <c r="AZ548" i="3" s="1"/>
  <c r="AZ399" i="3"/>
  <c r="AZ404" i="3"/>
  <c r="AZ409" i="3"/>
  <c r="AZ411"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BL15" i="3"/>
  <c r="D108" i="43"/>
  <c r="D100" i="43"/>
  <c r="D25" i="71"/>
  <c r="T25" i="71"/>
  <c r="C20" i="71"/>
  <c r="D19" i="71"/>
  <c r="AB16" i="71"/>
  <c r="AB11" i="71"/>
  <c r="AB20" i="71"/>
  <c r="AB17" i="71"/>
  <c r="Y23" i="71"/>
  <c r="Z23" i="71" s="1"/>
  <c r="Y20" i="71"/>
  <c r="Z20" i="71" s="1"/>
  <c r="Y22" i="71"/>
  <c r="Z22" i="71" s="1"/>
  <c r="AA24" i="71"/>
  <c r="AA22" i="71"/>
  <c r="AA14" i="71"/>
  <c r="AA19" i="71"/>
  <c r="AA13" i="71"/>
  <c r="V9" i="71"/>
  <c r="E8" i="71"/>
  <c r="E7" i="71" s="1"/>
  <c r="X8" i="71"/>
  <c r="B9" i="71"/>
  <c r="X9" i="71"/>
  <c r="AA6" i="71"/>
  <c r="AA7" i="71"/>
  <c r="AA3" i="71"/>
  <c r="AB6" i="71"/>
  <c r="AB5" i="71"/>
  <c r="K8" i="1"/>
  <c r="M8" i="1" s="1"/>
  <c r="BL113" i="3"/>
  <c r="G114" i="3"/>
  <c r="BL115" i="3"/>
  <c r="G119" i="3"/>
  <c r="G120" i="3"/>
  <c r="BL121" i="3"/>
  <c r="G122" i="3"/>
  <c r="BL123" i="3"/>
  <c r="G124" i="3"/>
  <c r="G127" i="3"/>
  <c r="G128" i="3"/>
  <c r="BL129" i="3"/>
  <c r="G130" i="3"/>
  <c r="BL131" i="3"/>
  <c r="AZ131" i="3" s="1"/>
  <c r="AZ153" i="3"/>
  <c r="AZ185" i="3"/>
  <c r="AZ207" i="3"/>
  <c r="F3" i="35"/>
  <c r="M108" i="43"/>
  <c r="M100" i="43"/>
  <c r="I108" i="43"/>
  <c r="I100" i="43"/>
  <c r="E108" i="43"/>
  <c r="E100" i="43"/>
  <c r="S21" i="33"/>
  <c r="AA21" i="33"/>
  <c r="AA18" i="36"/>
  <c r="S18" i="36"/>
  <c r="T49" i="71"/>
  <c r="AA11" i="71"/>
  <c r="C11" i="71"/>
  <c r="D11" i="71" s="1"/>
  <c r="D12" i="71"/>
  <c r="Y13" i="71"/>
  <c r="Z13" i="71" s="1"/>
  <c r="T13" i="71"/>
  <c r="D13" i="71"/>
  <c r="U13" i="71" s="1"/>
  <c r="AA23" i="71"/>
  <c r="AB18" i="71"/>
  <c r="Y15" i="71"/>
  <c r="Z15" i="71" s="1"/>
  <c r="Y10" i="71"/>
  <c r="Z10" i="71" s="1"/>
  <c r="Y12" i="71"/>
  <c r="Z12" i="71" s="1"/>
  <c r="AB15" i="71"/>
  <c r="X14" i="71"/>
  <c r="X15" i="71"/>
  <c r="Y19" i="71"/>
  <c r="Z19" i="71" s="1"/>
  <c r="Y16" i="71"/>
  <c r="Z16" i="71" s="1"/>
  <c r="Y18" i="71"/>
  <c r="Z18" i="71" s="1"/>
  <c r="AB19" i="71"/>
  <c r="X18" i="71"/>
  <c r="X19" i="71"/>
  <c r="X20" i="71"/>
  <c r="X17" i="71"/>
  <c r="C41" i="71"/>
  <c r="D40" i="71"/>
  <c r="AC12" i="43"/>
  <c r="AC10" i="43"/>
  <c r="AE12" i="43"/>
  <c r="AE13" i="43" s="1"/>
  <c r="AE10" i="43"/>
  <c r="AG12" i="43"/>
  <c r="AG10" i="43"/>
  <c r="AI12" i="43"/>
  <c r="AI13" i="43" s="1"/>
  <c r="AI10" i="43"/>
  <c r="M56" i="9"/>
  <c r="K56" i="9"/>
  <c r="X10" i="71"/>
  <c r="X11" i="71"/>
  <c r="AA10" i="71"/>
  <c r="P61" i="67"/>
  <c r="P74" i="67"/>
  <c r="AA9" i="71"/>
  <c r="Y7" i="71"/>
  <c r="Z7" i="71" s="1"/>
  <c r="Y8" i="71"/>
  <c r="Z8" i="71" s="1"/>
  <c r="Y6" i="71"/>
  <c r="Z6" i="71" s="1"/>
  <c r="Y3" i="71"/>
  <c r="Z3" i="71" s="1"/>
  <c r="AB7" i="71"/>
  <c r="AB8" i="71"/>
  <c r="X7" i="7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BL37" i="3"/>
  <c r="G38" i="3"/>
  <c r="BL39" i="3"/>
  <c r="G40" i="3"/>
  <c r="BL41" i="3"/>
  <c r="G42" i="3"/>
  <c r="BL43" i="3"/>
  <c r="G44" i="3"/>
  <c r="BL45" i="3"/>
  <c r="G46" i="3"/>
  <c r="BL47" i="3"/>
  <c r="G48" i="3"/>
  <c r="BL49" i="3"/>
  <c r="G50" i="3"/>
  <c r="BL51" i="3"/>
  <c r="G52" i="3"/>
  <c r="BL53" i="3"/>
  <c r="G54" i="3"/>
  <c r="BL55" i="3"/>
  <c r="G56" i="3"/>
  <c r="BL57" i="3"/>
  <c r="G58" i="3"/>
  <c r="BL59" i="3"/>
  <c r="G60" i="3"/>
  <c r="BL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AB10" i="71"/>
  <c r="AB12" i="71"/>
  <c r="B12" i="71"/>
  <c r="B11" i="71" s="1"/>
  <c r="S13" i="71"/>
  <c r="C16" i="71"/>
  <c r="E25" i="71"/>
  <c r="U25" i="71" s="1"/>
  <c r="B21" i="71"/>
  <c r="S21" i="71" s="1"/>
  <c r="B17" i="71"/>
  <c r="S17" i="71" s="1"/>
  <c r="X12" i="71"/>
  <c r="Y14" i="71"/>
  <c r="Z14" i="71" s="1"/>
  <c r="AB14" i="71"/>
  <c r="F15" i="71"/>
  <c r="F16" i="71" s="1"/>
  <c r="F17" i="71" s="1"/>
  <c r="V17" i="71" s="1"/>
  <c r="AA15" i="71"/>
  <c r="AA16" i="71"/>
  <c r="AA12" i="71"/>
  <c r="Y17" i="71"/>
  <c r="Z17" i="71" s="1"/>
  <c r="AA18" i="71"/>
  <c r="AA17" i="71"/>
  <c r="Y21" i="71"/>
  <c r="Z21" i="71" s="1"/>
  <c r="C44" i="71"/>
  <c r="B48" i="71"/>
  <c r="B49" i="71" s="1"/>
  <c r="S49" i="71" s="1"/>
  <c r="F51" i="71"/>
  <c r="Q52" i="71"/>
  <c r="D69" i="71"/>
  <c r="C68" i="71"/>
  <c r="L1" i="73"/>
  <c r="J1" i="73"/>
  <c r="AB9" i="71"/>
  <c r="S53" i="71"/>
  <c r="B52" i="71"/>
  <c r="Z12" i="43"/>
  <c r="Z13" i="43" s="1"/>
  <c r="Z10" i="43"/>
  <c r="AD12" i="43"/>
  <c r="AD13" i="43" s="1"/>
  <c r="AD10" i="43"/>
  <c r="AH12" i="43"/>
  <c r="AH13" i="43" s="1"/>
  <c r="AH10" i="43"/>
  <c r="F8" i="71"/>
  <c r="F7" i="71" s="1"/>
  <c r="F6" i="71" s="1"/>
  <c r="F5" i="71" s="1"/>
  <c r="C9" i="71"/>
  <c r="Y9" i="71"/>
  <c r="Z9" i="71" s="1"/>
  <c r="AA8" i="71"/>
  <c r="X6" i="71"/>
  <c r="X5" i="71"/>
  <c r="AA5" i="71"/>
  <c r="E106" i="43"/>
  <c r="D65" i="40"/>
  <c r="E63" i="40"/>
  <c r="C31" i="12"/>
  <c r="J51" i="15"/>
  <c r="H104" i="43"/>
  <c r="M102" i="43"/>
  <c r="P61" i="15"/>
  <c r="J53" i="15"/>
  <c r="F1" i="15" s="1"/>
  <c r="E109" i="43"/>
  <c r="H102" i="43"/>
  <c r="M106" i="43"/>
  <c r="E103" i="43"/>
  <c r="E102" i="43"/>
  <c r="B4" i="62"/>
  <c r="B71" i="72" s="1"/>
  <c r="C5" i="43"/>
  <c r="C94" i="9"/>
  <c r="C92" i="9"/>
  <c r="C30" i="69"/>
  <c r="C48" i="68"/>
  <c r="C36" i="11"/>
  <c r="C30" i="11"/>
  <c r="C77" i="9"/>
  <c r="C74" i="9" s="1"/>
  <c r="C40" i="68"/>
  <c r="C40" i="69"/>
  <c r="H103" i="43"/>
  <c r="M105" i="43"/>
  <c r="M107" i="43"/>
  <c r="M104" i="43"/>
  <c r="E105" i="43"/>
  <c r="E107" i="43"/>
  <c r="K15" i="1"/>
  <c r="P7" i="1"/>
  <c r="AZ123" i="3"/>
  <c r="BA113" i="3"/>
  <c r="AZ113" i="3" s="1"/>
  <c r="BA114" i="3"/>
  <c r="AZ114" i="3" s="1"/>
  <c r="BA121" i="3"/>
  <c r="BA122" i="3"/>
  <c r="AZ122" i="3" s="1"/>
  <c r="BA124" i="3"/>
  <c r="AZ124" i="3" s="1"/>
  <c r="BA129" i="3"/>
  <c r="AZ129" i="3" s="1"/>
  <c r="BA130" i="3"/>
  <c r="AZ130" i="3" s="1"/>
  <c r="BA36" i="3"/>
  <c r="AZ36" i="3" s="1"/>
  <c r="BA37" i="3"/>
  <c r="BA38" i="3"/>
  <c r="AZ38" i="3" s="1"/>
  <c r="BA39" i="3"/>
  <c r="BA40" i="3"/>
  <c r="AZ40" i="3" s="1"/>
  <c r="BA41" i="3"/>
  <c r="BA42" i="3"/>
  <c r="AZ42" i="3" s="1"/>
  <c r="BA43" i="3"/>
  <c r="BA44" i="3"/>
  <c r="AZ44" i="3" s="1"/>
  <c r="BA45" i="3"/>
  <c r="BA46" i="3"/>
  <c r="AZ46" i="3" s="1"/>
  <c r="BA47" i="3"/>
  <c r="BA48" i="3"/>
  <c r="AZ48" i="3" s="1"/>
  <c r="BA49" i="3"/>
  <c r="BA50" i="3"/>
  <c r="AZ50" i="3" s="1"/>
  <c r="BA51" i="3"/>
  <c r="BA52" i="3"/>
  <c r="AZ52" i="3" s="1"/>
  <c r="BA53" i="3"/>
  <c r="BA54" i="3"/>
  <c r="AZ54" i="3" s="1"/>
  <c r="BA55" i="3"/>
  <c r="BA56" i="3"/>
  <c r="AZ56" i="3" s="1"/>
  <c r="BA57" i="3"/>
  <c r="BA58" i="3"/>
  <c r="AZ58" i="3" s="1"/>
  <c r="BA59" i="3"/>
  <c r="BA60" i="3"/>
  <c r="AZ60" i="3" s="1"/>
  <c r="BA61" i="3"/>
  <c r="AZ15" i="3"/>
  <c r="AZ115" i="3"/>
  <c r="AZ120" i="3"/>
  <c r="AZ125" i="3"/>
  <c r="AZ27" i="3"/>
  <c r="AZ34" i="3"/>
  <c r="H109" i="43"/>
  <c r="H105" i="43"/>
  <c r="H106" i="43"/>
  <c r="C101" i="43"/>
  <c r="N101" i="43"/>
  <c r="K101" i="43"/>
  <c r="AR9" i="1"/>
  <c r="T9" i="1"/>
  <c r="AZ14" i="3"/>
  <c r="BA5" i="3"/>
  <c r="D116" i="43"/>
  <c r="E116" i="43" s="1"/>
  <c r="F116" i="43" s="1"/>
  <c r="G116" i="43" s="1"/>
  <c r="H116" i="43" s="1"/>
  <c r="B117" i="43"/>
  <c r="C117" i="43" s="1"/>
  <c r="J101" i="43"/>
  <c r="G101" i="43"/>
  <c r="H5" i="3"/>
  <c r="AQ7" i="1"/>
  <c r="AR7" i="1"/>
  <c r="O11" i="1"/>
  <c r="P11" i="1" s="1"/>
  <c r="D9" i="11"/>
  <c r="C9" i="11" s="1"/>
  <c r="D19" i="12"/>
  <c r="C19" i="12" s="1"/>
  <c r="O8" i="1"/>
  <c r="P8" i="1" s="1"/>
  <c r="AQ11" i="1"/>
  <c r="T11" i="1"/>
  <c r="AR11" i="1"/>
  <c r="P12" i="1"/>
  <c r="O9" i="1"/>
  <c r="P9" i="1" s="1"/>
  <c r="I14" i="74"/>
  <c r="B8" i="74" s="1"/>
  <c r="D127" i="9"/>
  <c r="D13" i="52" s="1"/>
  <c r="D12" i="52"/>
  <c r="D10" i="52"/>
  <c r="D125" i="9"/>
  <c r="D11" i="52" s="1"/>
  <c r="H14" i="74"/>
  <c r="B7" i="74" s="1"/>
  <c r="D17" i="53"/>
  <c r="B36" i="72" s="1"/>
  <c r="R49" i="33"/>
  <c r="E48" i="33"/>
  <c r="AC7" i="33"/>
  <c r="V48" i="33" s="1"/>
  <c r="I48" i="33" s="1"/>
  <c r="AB7" i="33"/>
  <c r="T48" i="33" s="1"/>
  <c r="G48" i="33" s="1"/>
  <c r="F59" i="34"/>
  <c r="F52" i="37"/>
  <c r="E46" i="36"/>
  <c r="D58" i="21"/>
  <c r="G48" i="35"/>
  <c r="C70" i="39"/>
  <c r="D68" i="39"/>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I54" i="15"/>
  <c r="L56" i="15"/>
  <c r="F66" i="15"/>
  <c r="B10" i="70"/>
  <c r="F68" i="67"/>
  <c r="N59" i="15"/>
  <c r="L59" i="15"/>
  <c r="M59" i="15"/>
  <c r="L58" i="15"/>
  <c r="F65" i="15"/>
  <c r="B13" i="70"/>
  <c r="B8" i="70"/>
  <c r="C34" i="67"/>
  <c r="F63" i="67"/>
  <c r="C62" i="67" s="1"/>
  <c r="B20" i="31"/>
  <c r="B7" i="70"/>
  <c r="J20" i="67"/>
  <c r="F71" i="15"/>
  <c r="F65" i="67"/>
  <c r="Q71" i="15"/>
  <c r="F51" i="67"/>
  <c r="B11" i="70"/>
  <c r="F51" i="15"/>
  <c r="B12" i="70"/>
  <c r="B9" i="70"/>
  <c r="F31" i="15"/>
  <c r="F59" i="15"/>
  <c r="M17" i="67"/>
  <c r="M17" i="15"/>
  <c r="F59" i="67"/>
  <c r="F31" i="67"/>
  <c r="F40" i="15"/>
  <c r="L48" i="67"/>
  <c r="C76" i="67"/>
  <c r="F43" i="67"/>
  <c r="F16" i="15"/>
  <c r="M9" i="67"/>
  <c r="F7" i="15"/>
  <c r="F36" i="15"/>
  <c r="M28" i="67"/>
  <c r="F38" i="67"/>
  <c r="M23" i="67"/>
  <c r="M27" i="67"/>
  <c r="L47" i="67"/>
  <c r="F36" i="67"/>
  <c r="M6" i="15"/>
  <c r="F9" i="67"/>
  <c r="F41" i="67"/>
  <c r="M24" i="15"/>
  <c r="F26" i="67"/>
  <c r="M23" i="15"/>
  <c r="D9" i="68"/>
  <c r="AE6" i="1"/>
  <c r="C36" i="68"/>
  <c r="F26" i="15"/>
  <c r="M29" i="15"/>
  <c r="F7" i="67"/>
  <c r="M26" i="15"/>
  <c r="M9" i="15"/>
  <c r="F42" i="15"/>
  <c r="C9" i="68" l="1"/>
  <c r="AZ134" i="3"/>
  <c r="AZ133" i="3"/>
  <c r="G16" i="1"/>
  <c r="J10" i="39" s="1"/>
  <c r="E12" i="6"/>
  <c r="D22" i="43"/>
  <c r="H16" i="1"/>
  <c r="L59" i="67"/>
  <c r="Q74" i="67" s="1"/>
  <c r="N59" i="67"/>
  <c r="M59" i="67"/>
  <c r="L58" i="67"/>
  <c r="Q73" i="67" s="1"/>
  <c r="Q71" i="67"/>
  <c r="F68" i="15"/>
  <c r="F71" i="67"/>
  <c r="C27" i="15"/>
  <c r="M7" i="67"/>
  <c r="J6" i="67" s="1"/>
  <c r="F50" i="67"/>
  <c r="C49" i="67" s="1"/>
  <c r="C6" i="67"/>
  <c r="M7" i="15"/>
  <c r="J6" i="15" s="1"/>
  <c r="C6" i="15"/>
  <c r="F50" i="15"/>
  <c r="C49" i="15" s="1"/>
  <c r="F64" i="67"/>
  <c r="J57" i="67"/>
  <c r="J55" i="67" s="1"/>
  <c r="J58" i="67" s="1"/>
  <c r="Q50" i="67" s="1"/>
  <c r="I54" i="67"/>
  <c r="L56" i="67"/>
  <c r="F64" i="15"/>
  <c r="F69" i="67"/>
  <c r="F66" i="67"/>
  <c r="C27" i="67"/>
  <c r="C67" i="71"/>
  <c r="D67" i="71" s="1"/>
  <c r="D68" i="71"/>
  <c r="C17" i="71"/>
  <c r="D16" i="71"/>
  <c r="D41" i="71"/>
  <c r="T41" i="71"/>
  <c r="C21" i="71"/>
  <c r="D20" i="71"/>
  <c r="W24" i="36"/>
  <c r="AC24" i="36"/>
  <c r="AC12" i="36"/>
  <c r="W12" i="36"/>
  <c r="AB37" i="39"/>
  <c r="U37" i="39"/>
  <c r="D117" i="43"/>
  <c r="E117" i="43" s="1"/>
  <c r="F117" i="43" s="1"/>
  <c r="G117" i="43" s="1"/>
  <c r="H117" i="43" s="1"/>
  <c r="B116" i="43"/>
  <c r="C116"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AA40" i="37"/>
  <c r="S40" i="37"/>
  <c r="AB40" i="37"/>
  <c r="U40" i="37"/>
  <c r="L109" i="43"/>
  <c r="L106" i="43"/>
  <c r="L107" i="43"/>
  <c r="L103" i="43"/>
  <c r="L102" i="43"/>
  <c r="L105" i="43"/>
  <c r="L104" i="43"/>
  <c r="I109" i="43"/>
  <c r="I104" i="43"/>
  <c r="I107" i="43"/>
  <c r="I105" i="43"/>
  <c r="I102" i="43"/>
  <c r="I106" i="43"/>
  <c r="I103" i="43"/>
  <c r="AG13" i="43"/>
  <c r="AA13" i="21"/>
  <c r="S13" i="21"/>
  <c r="S12" i="37"/>
  <c r="AA12" i="37"/>
  <c r="AC12" i="37"/>
  <c r="W12" i="37"/>
  <c r="U11" i="36"/>
  <c r="AB11" i="36"/>
  <c r="S23" i="35"/>
  <c r="AA23" i="35"/>
  <c r="U23" i="35"/>
  <c r="AB23" i="35"/>
  <c r="D115" i="43"/>
  <c r="E115" i="43" s="1"/>
  <c r="F115" i="43" s="1"/>
  <c r="G115" i="43" s="1"/>
  <c r="H115" i="43" s="1"/>
  <c r="B118" i="43"/>
  <c r="C118" i="43" s="1"/>
  <c r="D118" i="43"/>
  <c r="E118" i="43" s="1"/>
  <c r="F118" i="43" s="1"/>
  <c r="B115" i="43"/>
  <c r="AZ61" i="3"/>
  <c r="AZ59" i="3"/>
  <c r="AZ57" i="3"/>
  <c r="AZ55" i="3"/>
  <c r="AZ53" i="3"/>
  <c r="AZ51" i="3"/>
  <c r="AZ49" i="3"/>
  <c r="AZ47" i="3"/>
  <c r="AZ45" i="3"/>
  <c r="AZ43" i="3"/>
  <c r="AZ41" i="3"/>
  <c r="AZ39" i="3"/>
  <c r="AZ37" i="3"/>
  <c r="AZ121" i="3"/>
  <c r="C8" i="71"/>
  <c r="T9" i="71"/>
  <c r="D9" i="71"/>
  <c r="U9" i="71" s="1"/>
  <c r="N52" i="71"/>
  <c r="B51" i="71"/>
  <c r="Q51" i="71"/>
  <c r="Q50" i="71"/>
  <c r="C45" i="71"/>
  <c r="D44" i="71"/>
  <c r="G5" i="3"/>
  <c r="B3" i="3" s="1"/>
  <c r="E109" i="3" s="1"/>
  <c r="B8" i="71"/>
  <c r="B7" i="71" s="1"/>
  <c r="B6" i="71" s="1"/>
  <c r="B5" i="71" s="1"/>
  <c r="S9" i="71"/>
  <c r="BL5" i="3"/>
  <c r="AB24" i="36"/>
  <c r="U24" i="36"/>
  <c r="AB12" i="36"/>
  <c r="U12" i="36"/>
  <c r="AZ520" i="3"/>
  <c r="AZ532" i="3"/>
  <c r="AZ534" i="3"/>
  <c r="AZ536" i="3"/>
  <c r="AC37" i="39"/>
  <c r="W37" i="39"/>
  <c r="AC40" i="37"/>
  <c r="W40" i="37"/>
  <c r="AZ587" i="3"/>
  <c r="AC13" i="21"/>
  <c r="W13" i="21"/>
  <c r="AA13" i="40"/>
  <c r="S13" i="40"/>
  <c r="D109" i="43"/>
  <c r="D105" i="43"/>
  <c r="D106" i="43"/>
  <c r="D102" i="43"/>
  <c r="D103" i="43"/>
  <c r="D104" i="43"/>
  <c r="D107" i="43"/>
  <c r="AC13" i="43"/>
  <c r="Q16" i="1"/>
  <c r="E15" i="6"/>
  <c r="E13" i="6"/>
  <c r="E10" i="6"/>
  <c r="E14" i="6"/>
  <c r="E11" i="6"/>
  <c r="AZ496" i="3"/>
  <c r="AZ498" i="3"/>
  <c r="AZ508" i="3"/>
  <c r="AB12" i="37"/>
  <c r="U12" i="37"/>
  <c r="AA11" i="36"/>
  <c r="S11" i="36"/>
  <c r="W11" i="36"/>
  <c r="AC11" i="36"/>
  <c r="AC23" i="35"/>
  <c r="W23" i="35"/>
  <c r="F63" i="40"/>
  <c r="E65" i="40"/>
  <c r="Q52" i="15"/>
  <c r="G30" i="6"/>
  <c r="G31" i="6" s="1"/>
  <c r="E28" i="6"/>
  <c r="E57" i="40"/>
  <c r="E62" i="39"/>
  <c r="F27" i="6"/>
  <c r="F31" i="6" s="1"/>
  <c r="E51" i="40"/>
  <c r="E56" i="39"/>
  <c r="N102" i="43"/>
  <c r="N103" i="43"/>
  <c r="N106" i="43"/>
  <c r="N104" i="43"/>
  <c r="N105" i="43"/>
  <c r="N107" i="43"/>
  <c r="N109" i="43"/>
  <c r="F10" i="40"/>
  <c r="AA10" i="40" s="1"/>
  <c r="K103" i="43"/>
  <c r="K102" i="43"/>
  <c r="K106" i="43"/>
  <c r="K109" i="43"/>
  <c r="K107" i="43"/>
  <c r="K104" i="43"/>
  <c r="K105" i="43"/>
  <c r="C104" i="43"/>
  <c r="C107" i="43"/>
  <c r="C103" i="43"/>
  <c r="C102" i="43"/>
  <c r="C109" i="43"/>
  <c r="C106" i="43"/>
  <c r="C105" i="43"/>
  <c r="G105" i="43"/>
  <c r="G107" i="43"/>
  <c r="G104" i="43"/>
  <c r="G106" i="43"/>
  <c r="G103" i="43"/>
  <c r="G109" i="43"/>
  <c r="G102" i="43"/>
  <c r="J104" i="43"/>
  <c r="J105" i="43"/>
  <c r="J107" i="43"/>
  <c r="J102" i="43"/>
  <c r="J109" i="43"/>
  <c r="J103" i="43"/>
  <c r="J106" i="43"/>
  <c r="C115" i="43"/>
  <c r="D113" i="43" s="1"/>
  <c r="H10" i="40"/>
  <c r="F10" i="39"/>
  <c r="H10" i="39"/>
  <c r="J10" i="40"/>
  <c r="E58" i="21"/>
  <c r="F46" i="36"/>
  <c r="G52" i="37"/>
  <c r="G59" i="34"/>
  <c r="G52" i="33"/>
  <c r="H52" i="33" s="1"/>
  <c r="G53" i="33"/>
  <c r="H53" i="33" s="1"/>
  <c r="E53" i="33"/>
  <c r="F53" i="33" s="1"/>
  <c r="E52" i="33"/>
  <c r="F52" i="33" s="1"/>
  <c r="W10" i="39"/>
  <c r="AC10" i="39"/>
  <c r="E68" i="39"/>
  <c r="D70" i="39"/>
  <c r="H48" i="35"/>
  <c r="I52" i="33"/>
  <c r="J52" i="33" s="1"/>
  <c r="I53" i="33"/>
  <c r="J53" i="33" s="1"/>
  <c r="C48" i="33"/>
  <c r="C49" i="33"/>
  <c r="P25" i="43"/>
  <c r="Q60" i="15"/>
  <c r="Q73" i="15"/>
  <c r="Q74" i="15"/>
  <c r="Q61" i="15"/>
  <c r="F6" i="73"/>
  <c r="D7" i="73"/>
  <c r="D3" i="73"/>
  <c r="F4" i="73"/>
  <c r="C17" i="67"/>
  <c r="F41" i="15"/>
  <c r="F3" i="73"/>
  <c r="F5" i="73"/>
  <c r="F7" i="73"/>
  <c r="C14" i="67"/>
  <c r="C16" i="67"/>
  <c r="D4" i="73"/>
  <c r="D5" i="73"/>
  <c r="D6" i="73"/>
  <c r="C16" i="15"/>
  <c r="AZ5" i="3" l="1"/>
  <c r="AY6" i="3" s="1"/>
  <c r="Q61" i="67"/>
  <c r="E16" i="6"/>
  <c r="E130" i="3"/>
  <c r="E120" i="3"/>
  <c r="Q60" i="67"/>
  <c r="I1" i="73"/>
  <c r="B39" i="1" s="1"/>
  <c r="E20" i="43"/>
  <c r="K1" i="73"/>
  <c r="C15" i="67"/>
  <c r="C18" i="67"/>
  <c r="E64" i="39"/>
  <c r="E59" i="40"/>
  <c r="E58" i="40"/>
  <c r="E63" i="39"/>
  <c r="F27" i="69"/>
  <c r="F27" i="11"/>
  <c r="F28" i="12"/>
  <c r="C29" i="12" s="1"/>
  <c r="D28" i="12" s="1"/>
  <c r="E122" i="3"/>
  <c r="E31" i="3"/>
  <c r="E33" i="3"/>
  <c r="E40" i="3"/>
  <c r="E44" i="3"/>
  <c r="E48" i="3"/>
  <c r="E52" i="3"/>
  <c r="E56" i="3"/>
  <c r="E60" i="3"/>
  <c r="E64" i="3"/>
  <c r="E68" i="3"/>
  <c r="E72" i="3"/>
  <c r="E76" i="3"/>
  <c r="E80" i="3"/>
  <c r="E84" i="3"/>
  <c r="E88" i="3"/>
  <c r="E92" i="3"/>
  <c r="E96" i="3"/>
  <c r="E100" i="3"/>
  <c r="E104" i="3"/>
  <c r="E108" i="3"/>
  <c r="E112" i="3"/>
  <c r="D45" i="71"/>
  <c r="T45" i="71"/>
  <c r="N51" i="71"/>
  <c r="N50" i="71"/>
  <c r="C7" i="71"/>
  <c r="D8" i="71"/>
  <c r="E119" i="3"/>
  <c r="E32" i="3"/>
  <c r="E63" i="3"/>
  <c r="E67" i="3"/>
  <c r="E73" i="3"/>
  <c r="E77" i="3"/>
  <c r="E81" i="3"/>
  <c r="E85" i="3"/>
  <c r="E89" i="3"/>
  <c r="E93" i="3"/>
  <c r="E101" i="3"/>
  <c r="E105" i="3"/>
  <c r="E61" i="39"/>
  <c r="E56" i="40"/>
  <c r="E60" i="40"/>
  <c r="E65" i="39"/>
  <c r="E53" i="3"/>
  <c r="E401" i="3"/>
  <c r="E146" i="3"/>
  <c r="E168" i="3"/>
  <c r="E203" i="3"/>
  <c r="E139" i="3"/>
  <c r="E202" i="3"/>
  <c r="E225" i="3"/>
  <c r="E242" i="3"/>
  <c r="E281" i="3"/>
  <c r="E226" i="3"/>
  <c r="E243" i="3"/>
  <c r="E351" i="3"/>
  <c r="E315" i="3"/>
  <c r="E357" i="3"/>
  <c r="E394" i="3"/>
  <c r="E356" i="3"/>
  <c r="E372" i="3"/>
  <c r="AL6" i="3"/>
  <c r="E580" i="3"/>
  <c r="E488" i="3"/>
  <c r="E428" i="3"/>
  <c r="E15" i="3"/>
  <c r="E455" i="3"/>
  <c r="E170" i="3"/>
  <c r="E174" i="3"/>
  <c r="E220" i="3"/>
  <c r="E275" i="3"/>
  <c r="E235" i="3"/>
  <c r="E324" i="3"/>
  <c r="E383" i="3"/>
  <c r="E342" i="3"/>
  <c r="E36" i="3"/>
  <c r="E123" i="3"/>
  <c r="E147" i="3"/>
  <c r="E289" i="3"/>
  <c r="E340" i="3"/>
  <c r="E364" i="3"/>
  <c r="E113" i="3"/>
  <c r="E218" i="3"/>
  <c r="E265" i="3"/>
  <c r="E365" i="3"/>
  <c r="E524" i="3"/>
  <c r="E175" i="3"/>
  <c r="E569" i="3"/>
  <c r="E247" i="3"/>
  <c r="E358" i="3"/>
  <c r="E559" i="3"/>
  <c r="E570" i="3"/>
  <c r="M6" i="3"/>
  <c r="V6" i="3"/>
  <c r="AB6" i="3"/>
  <c r="E407" i="3"/>
  <c r="E387" i="3"/>
  <c r="E320" i="3"/>
  <c r="E335" i="3"/>
  <c r="E294" i="3"/>
  <c r="E215" i="3"/>
  <c r="E230" i="3"/>
  <c r="E189" i="3"/>
  <c r="E134" i="3"/>
  <c r="E254" i="3"/>
  <c r="E221" i="3"/>
  <c r="E161" i="3"/>
  <c r="E180" i="3"/>
  <c r="E117" i="3"/>
  <c r="E149" i="3"/>
  <c r="E207" i="3"/>
  <c r="E252" i="3"/>
  <c r="E212" i="3"/>
  <c r="E271" i="3"/>
  <c r="E253" i="3"/>
  <c r="E204" i="3"/>
  <c r="E167" i="3"/>
  <c r="E145" i="3"/>
  <c r="E199" i="3"/>
  <c r="E164" i="3"/>
  <c r="E141" i="3"/>
  <c r="E286" i="3"/>
  <c r="E327" i="3"/>
  <c r="E312" i="3"/>
  <c r="E379"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1" i="3"/>
  <c r="E582" i="3"/>
  <c r="AS6" i="3"/>
  <c r="E413" i="3"/>
  <c r="E403" i="3"/>
  <c r="E435" i="3"/>
  <c r="E444" i="3"/>
  <c r="E460" i="3"/>
  <c r="E476" i="3"/>
  <c r="E491" i="3"/>
  <c r="E489" i="3"/>
  <c r="E546" i="3"/>
  <c r="E417" i="3"/>
  <c r="E404" i="3"/>
  <c r="E436" i="3"/>
  <c r="E447" i="3"/>
  <c r="E479" i="3"/>
  <c r="E28" i="3"/>
  <c r="E39" i="3"/>
  <c r="E27" i="3"/>
  <c r="E37" i="3"/>
  <c r="E57"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7" i="3"/>
  <c r="E378" i="3"/>
  <c r="E317" i="3"/>
  <c r="E349" i="3"/>
  <c r="E334" i="3"/>
  <c r="E384" i="3"/>
  <c r="E389" i="3"/>
  <c r="E572" i="3"/>
  <c r="AM6" i="3"/>
  <c r="E544" i="3"/>
  <c r="E30" i="3"/>
  <c r="E29" i="3"/>
  <c r="E59" i="3"/>
  <c r="E480" i="3"/>
  <c r="E441" i="3"/>
  <c r="E462" i="3"/>
  <c r="E484" i="3"/>
  <c r="E425" i="3"/>
  <c r="E446" i="3"/>
  <c r="E467" i="3"/>
  <c r="E47" i="3"/>
  <c r="E138" i="3"/>
  <c r="E160" i="3"/>
  <c r="E195" i="3"/>
  <c r="E142" i="3"/>
  <c r="E163" i="3"/>
  <c r="E200" i="3"/>
  <c r="E248" i="3"/>
  <c r="E267" i="3"/>
  <c r="E209" i="3"/>
  <c r="E249" i="3"/>
  <c r="E266" i="3"/>
  <c r="E300" i="3"/>
  <c r="E307" i="3"/>
  <c r="E371" i="3"/>
  <c r="E386" i="3"/>
  <c r="E310" i="3"/>
  <c r="E492" i="3"/>
  <c r="E584" i="3"/>
  <c r="E23" i="3"/>
  <c r="E24" i="3"/>
  <c r="E144" i="3"/>
  <c r="E184" i="3"/>
  <c r="E250" i="3"/>
  <c r="E233" i="3"/>
  <c r="E284" i="3"/>
  <c r="E355" i="3"/>
  <c r="E341" i="3"/>
  <c r="E381" i="3"/>
  <c r="Y6" i="3"/>
  <c r="E51" i="3"/>
  <c r="E19" i="3"/>
  <c r="E154" i="3"/>
  <c r="E118" i="3"/>
  <c r="E179" i="3"/>
  <c r="E264" i="3"/>
  <c r="E222" i="3"/>
  <c r="E283" i="3"/>
  <c r="E323" i="3"/>
  <c r="E309" i="3"/>
  <c r="E373" i="3"/>
  <c r="E21" i="3"/>
  <c r="E343" i="3"/>
  <c r="E516" i="3"/>
  <c r="E396" i="3"/>
  <c r="E229" i="3"/>
  <c r="E151" i="3"/>
  <c r="E311" i="3"/>
  <c r="E514" i="3"/>
  <c r="AR6" i="3"/>
  <c r="E523" i="3"/>
  <c r="E561" i="3"/>
  <c r="E506" i="3"/>
  <c r="E418" i="3"/>
  <c r="E439" i="3"/>
  <c r="E338" i="3"/>
  <c r="E380" i="3"/>
  <c r="E321" i="3"/>
  <c r="E231" i="3"/>
  <c r="E298" i="3"/>
  <c r="E216" i="3"/>
  <c r="E169" i="3"/>
  <c r="E185" i="3"/>
  <c r="E61" i="3"/>
  <c r="E135" i="3"/>
  <c r="E290" i="3"/>
  <c r="E181" i="3"/>
  <c r="E157" i="3"/>
  <c r="E140" i="3"/>
  <c r="E45" i="3"/>
  <c r="E223" i="3"/>
  <c r="E277" i="3"/>
  <c r="E238" i="3"/>
  <c r="E224" i="3"/>
  <c r="E197" i="3"/>
  <c r="E177" i="3"/>
  <c r="E116" i="3"/>
  <c r="E193" i="3"/>
  <c r="E173" i="3"/>
  <c r="E133" i="3"/>
  <c r="E313" i="3"/>
  <c r="E369" i="3"/>
  <c r="E330" i="3"/>
  <c r="E393" i="3"/>
  <c r="E519" i="3"/>
  <c r="E525" i="3"/>
  <c r="K6" i="3"/>
  <c r="E493" i="3"/>
  <c r="E532" i="3"/>
  <c r="E534" i="3"/>
  <c r="Q6" i="3"/>
  <c r="E564" i="3"/>
  <c r="E573" i="3"/>
  <c r="T6" i="3"/>
  <c r="E560" i="3"/>
  <c r="E543"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537" i="3"/>
  <c r="E494" i="3"/>
  <c r="E429" i="3"/>
  <c r="E419" i="3"/>
  <c r="E450" i="3"/>
  <c r="E452" i="3"/>
  <c r="E468" i="3"/>
  <c r="E483" i="3"/>
  <c r="E471" i="3"/>
  <c r="E470" i="3"/>
  <c r="E433" i="3"/>
  <c r="E420" i="3"/>
  <c r="E454" i="3"/>
  <c r="E463" i="3"/>
  <c r="E475" i="3"/>
  <c r="E26" i="3"/>
  <c r="E55" i="3"/>
  <c r="E25" i="3"/>
  <c r="E41" i="3"/>
  <c r="E115" i="3"/>
  <c r="E178" i="3"/>
  <c r="E198" i="3"/>
  <c r="E150" i="3"/>
  <c r="E171" i="3"/>
  <c r="E208" i="3"/>
  <c r="E256" i="3"/>
  <c r="E279" i="3"/>
  <c r="E214" i="3"/>
  <c r="E257" i="3"/>
  <c r="E274" i="3"/>
  <c r="E276" i="3"/>
  <c r="E332" i="3"/>
  <c r="E346" i="3"/>
  <c r="E391" i="3"/>
  <c r="E333" i="3"/>
  <c r="E318" i="3"/>
  <c r="E362" i="3"/>
  <c r="E14" i="3"/>
  <c r="L6" i="3"/>
  <c r="E43" i="3"/>
  <c r="E409" i="3"/>
  <c r="E473" i="3"/>
  <c r="E482" i="3"/>
  <c r="E412" i="3"/>
  <c r="E18" i="3"/>
  <c r="E129" i="3"/>
  <c r="E190" i="3"/>
  <c r="E137" i="3"/>
  <c r="E194" i="3"/>
  <c r="E234" i="3"/>
  <c r="E219" i="3"/>
  <c r="E299" i="3"/>
  <c r="E339" i="3"/>
  <c r="E325" i="3"/>
  <c r="E392" i="3"/>
  <c r="AQ6" i="3"/>
  <c r="E35" i="3"/>
  <c r="E49" i="3"/>
  <c r="E206" i="3"/>
  <c r="E232" i="3"/>
  <c r="E251" i="3"/>
  <c r="E370" i="3"/>
  <c r="AF6" i="3"/>
  <c r="E20" i="3"/>
  <c r="E176" i="3"/>
  <c r="E158" i="3"/>
  <c r="E287" i="3"/>
  <c r="E308" i="3"/>
  <c r="E326" i="3"/>
  <c r="E22" i="3"/>
  <c r="E375" i="3"/>
  <c r="E201" i="3"/>
  <c r="E505" i="3"/>
  <c r="E541" i="3"/>
  <c r="E527" i="3"/>
  <c r="E354" i="3"/>
  <c r="E557" i="3"/>
  <c r="E531" i="3"/>
  <c r="E522" i="3"/>
  <c r="E515" i="3"/>
  <c r="E513" i="3"/>
  <c r="E499" i="3"/>
  <c r="E496" i="3"/>
  <c r="E228" i="3"/>
  <c r="E188" i="3"/>
  <c r="E191" i="3"/>
  <c r="E159" i="3"/>
  <c r="E245" i="3"/>
  <c r="E301" i="3"/>
  <c r="E263" i="3"/>
  <c r="E303" i="3"/>
  <c r="E382" i="3"/>
  <c r="E350" i="3"/>
  <c r="E423" i="3"/>
  <c r="E402" i="3"/>
  <c r="E578" i="3"/>
  <c r="E586" i="3"/>
  <c r="AI6" i="3"/>
  <c r="AN6" i="3"/>
  <c r="E518" i="3"/>
  <c r="E533" i="3"/>
  <c r="E270" i="3"/>
  <c r="E143" i="3"/>
  <c r="E337" i="3"/>
  <c r="E579" i="3"/>
  <c r="E305" i="3"/>
  <c r="E359" i="3"/>
  <c r="E574" i="3"/>
  <c r="E509" i="3"/>
  <c r="E426" i="3"/>
  <c r="E501" i="3"/>
  <c r="E125" i="3"/>
  <c r="E366" i="3"/>
  <c r="E553" i="3"/>
  <c r="E282" i="3"/>
  <c r="N6" i="3"/>
  <c r="E388" i="3"/>
  <c r="E545" i="3"/>
  <c r="E567" i="3"/>
  <c r="E510" i="3"/>
  <c r="E461" i="3"/>
  <c r="E352" i="3"/>
  <c r="E227" i="3"/>
  <c r="E205" i="3"/>
  <c r="E165" i="3"/>
  <c r="E128" i="3"/>
  <c r="E353" i="3"/>
  <c r="E385" i="3"/>
  <c r="E495" i="3"/>
  <c r="E237" i="3"/>
  <c r="E278" i="3"/>
  <c r="E415" i="3"/>
  <c r="E563" i="3"/>
  <c r="E395" i="3"/>
  <c r="E172" i="3"/>
  <c r="E260" i="3"/>
  <c r="E445" i="3"/>
  <c r="E550" i="3"/>
  <c r="E535" i="3"/>
  <c r="E329" i="3"/>
  <c r="E539" i="3"/>
  <c r="E348" i="3"/>
  <c r="E121" i="3"/>
  <c r="E521" i="3"/>
  <c r="E540" i="3"/>
  <c r="E542" i="3"/>
  <c r="E538" i="3"/>
  <c r="E529" i="3"/>
  <c r="E502" i="3"/>
  <c r="E517" i="3"/>
  <c r="E504" i="3"/>
  <c r="E520" i="3"/>
  <c r="E508" i="3"/>
  <c r="E500" i="3"/>
  <c r="E498" i="3"/>
  <c r="E453" i="3"/>
  <c r="E536" i="3"/>
  <c r="I6" i="3"/>
  <c r="E390" i="3"/>
  <c r="E285" i="3"/>
  <c r="E239" i="3"/>
  <c r="E410" i="3"/>
  <c r="E328" i="3"/>
  <c r="E319" i="3"/>
  <c r="E526" i="3"/>
  <c r="E268" i="3"/>
  <c r="AJ6" i="3"/>
  <c r="AC6" i="3" s="1"/>
  <c r="AA6" i="3"/>
  <c r="E399" i="3"/>
  <c r="E280" i="3"/>
  <c r="E124" i="3"/>
  <c r="E397" i="3"/>
  <c r="E568" i="3"/>
  <c r="E565" i="3"/>
  <c r="E361" i="3"/>
  <c r="E503" i="3"/>
  <c r="E302" i="3"/>
  <c r="E583" i="3"/>
  <c r="E269" i="3"/>
  <c r="E148" i="3"/>
  <c r="E236" i="3"/>
  <c r="E156" i="3"/>
  <c r="E136" i="3"/>
  <c r="E196" i="3"/>
  <c r="E262" i="3"/>
  <c r="E244" i="3"/>
  <c r="E296" i="3"/>
  <c r="E368" i="3"/>
  <c r="E306" i="3"/>
  <c r="E434" i="3"/>
  <c r="E549" i="3"/>
  <c r="AK6" i="3"/>
  <c r="E16" i="3"/>
  <c r="S6" i="3"/>
  <c r="E97" i="3"/>
  <c r="E431" i="3"/>
  <c r="E530" i="3"/>
  <c r="E555" i="3"/>
  <c r="E153" i="3"/>
  <c r="E217" i="3"/>
  <c r="E322" i="3"/>
  <c r="O6" i="3"/>
  <c r="X6" i="3"/>
  <c r="E336" i="3"/>
  <c r="E246" i="3"/>
  <c r="E293" i="3"/>
  <c r="E314" i="3"/>
  <c r="E511" i="3"/>
  <c r="E69" i="3"/>
  <c r="E261" i="3"/>
  <c r="E304" i="3"/>
  <c r="E528" i="3"/>
  <c r="E183" i="3"/>
  <c r="E213" i="3"/>
  <c r="E17" i="3"/>
  <c r="E347" i="3"/>
  <c r="E114" i="3"/>
  <c r="E38" i="3"/>
  <c r="E42" i="3"/>
  <c r="E46" i="3"/>
  <c r="E50" i="3"/>
  <c r="E54" i="3"/>
  <c r="E58" i="3"/>
  <c r="E62" i="3"/>
  <c r="E66" i="3"/>
  <c r="E70" i="3"/>
  <c r="E74" i="3"/>
  <c r="E78" i="3"/>
  <c r="E82" i="3"/>
  <c r="E86" i="3"/>
  <c r="E90" i="3"/>
  <c r="E94" i="3"/>
  <c r="E98" i="3"/>
  <c r="E102" i="3"/>
  <c r="E106" i="3"/>
  <c r="E110" i="3"/>
  <c r="E551" i="3"/>
  <c r="D21" i="71"/>
  <c r="T21" i="71"/>
  <c r="E127" i="3"/>
  <c r="E34" i="3"/>
  <c r="E65" i="3"/>
  <c r="E71" i="3"/>
  <c r="E75" i="3"/>
  <c r="E79" i="3"/>
  <c r="E83" i="3"/>
  <c r="E87" i="3"/>
  <c r="E91" i="3"/>
  <c r="E95" i="3"/>
  <c r="E103" i="3"/>
  <c r="E107" i="3"/>
  <c r="E111" i="3"/>
  <c r="D17" i="71"/>
  <c r="T17" i="71"/>
  <c r="E99" i="3"/>
  <c r="F69" i="15"/>
  <c r="F65" i="40"/>
  <c r="G63" i="40"/>
  <c r="S2" i="43"/>
  <c r="S6" i="43"/>
  <c r="S4" i="43"/>
  <c r="S7" i="43"/>
  <c r="S5" i="43"/>
  <c r="C23" i="43"/>
  <c r="C21" i="43" s="1"/>
  <c r="S3" i="43"/>
  <c r="S10" i="40"/>
  <c r="K14" i="1"/>
  <c r="E30" i="6"/>
  <c r="E27" i="6"/>
  <c r="U10" i="39"/>
  <c r="AB10" i="39"/>
  <c r="AB10" i="40"/>
  <c r="U10" i="40"/>
  <c r="W10" i="40"/>
  <c r="AC10" i="40"/>
  <c r="S10" i="39"/>
  <c r="AA10" i="39"/>
  <c r="I48" i="35"/>
  <c r="F68" i="39"/>
  <c r="E70" i="39"/>
  <c r="H52" i="37"/>
  <c r="H59" i="34"/>
  <c r="G46" i="36"/>
  <c r="F58" i="21"/>
  <c r="G58" i="21" s="1"/>
  <c r="H58" i="21" s="1"/>
  <c r="I58" i="21" s="1"/>
  <c r="J58" i="21" s="1"/>
  <c r="K58" i="21" s="1"/>
  <c r="L58" i="21" s="1"/>
  <c r="M58" i="21" s="1"/>
  <c r="N58" i="21" s="1"/>
  <c r="O58" i="21" s="1"/>
  <c r="H7" i="21"/>
  <c r="F27" i="68"/>
  <c r="G1" i="73"/>
  <c r="E3" i="6" l="1"/>
  <c r="E66" i="39"/>
  <c r="C19" i="67"/>
  <c r="C20" i="67" s="1"/>
  <c r="C26" i="67" s="1"/>
  <c r="B40" i="1"/>
  <c r="D7" i="71"/>
  <c r="C6" i="71"/>
  <c r="C29" i="68"/>
  <c r="D27" i="68" s="1"/>
  <c r="C47" i="68"/>
  <c r="D45" i="68" s="1"/>
  <c r="C47" i="69"/>
  <c r="D45" i="69" s="1"/>
  <c r="C29" i="69"/>
  <c r="D27" i="69" s="1"/>
  <c r="AY87" i="3"/>
  <c r="AY371" i="3"/>
  <c r="AY299" i="3"/>
  <c r="AY513" i="3"/>
  <c r="AY114" i="3"/>
  <c r="AY60" i="3"/>
  <c r="AY59" i="3"/>
  <c r="AY41" i="3"/>
  <c r="AY170" i="3"/>
  <c r="AY342" i="3"/>
  <c r="AY58" i="3"/>
  <c r="AY274" i="3"/>
  <c r="BJ6" i="3"/>
  <c r="AY263" i="3"/>
  <c r="AY206" i="3"/>
  <c r="AY569" i="3"/>
  <c r="AY395" i="3"/>
  <c r="AY318" i="3"/>
  <c r="AY131" i="3"/>
  <c r="AY83" i="3"/>
  <c r="AY210" i="3"/>
  <c r="AY177" i="3"/>
  <c r="AY104" i="3"/>
  <c r="AY381" i="3"/>
  <c r="AY231" i="3"/>
  <c r="AY118" i="3"/>
  <c r="AY201" i="3"/>
  <c r="AY45" i="3"/>
  <c r="AY541" i="3"/>
  <c r="AY433" i="3"/>
  <c r="AY358" i="3"/>
  <c r="AY180" i="3"/>
  <c r="AY470" i="3"/>
  <c r="AY225" i="3"/>
  <c r="AY276" i="3"/>
  <c r="AY115" i="3"/>
  <c r="AY66"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98" i="3"/>
  <c r="AY171" i="3"/>
  <c r="AY163" i="3"/>
  <c r="AY237" i="3"/>
  <c r="AY334" i="3"/>
  <c r="AY526" i="3"/>
  <c r="AY390" i="3"/>
  <c r="AY447" i="3"/>
  <c r="AY574" i="3"/>
  <c r="AY85" i="3"/>
  <c r="AY25" i="3"/>
  <c r="AY157" i="3"/>
  <c r="AY271" i="3"/>
  <c r="AY211" i="3"/>
  <c r="BI6" i="3"/>
  <c r="AY186" i="3"/>
  <c r="AY243"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7" i="3"/>
  <c r="AY245" i="3"/>
  <c r="AY246" i="3"/>
  <c r="AY553" i="3"/>
  <c r="AY428" i="3"/>
  <c r="AY23" i="3"/>
  <c r="AY197" i="3"/>
  <c r="AY392" i="3"/>
  <c r="AY149" i="3"/>
  <c r="AY77" i="3"/>
  <c r="AY452" i="3"/>
  <c r="AY106" i="3"/>
  <c r="AY268" i="3"/>
  <c r="AY155" i="3"/>
  <c r="AY290" i="3"/>
  <c r="AY24" i="3"/>
  <c r="AY554" i="3"/>
  <c r="AY214" i="3"/>
  <c r="AY294" i="3"/>
  <c r="AY138" i="3"/>
  <c r="AY28" i="3"/>
  <c r="AY108" i="3"/>
  <c r="BK6" i="3"/>
  <c r="AY465" i="3"/>
  <c r="AY228" i="3"/>
  <c r="AY409" i="3"/>
  <c r="AY335" i="3"/>
  <c r="AY297" i="3"/>
  <c r="AY188" i="3"/>
  <c r="AY176"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18" i="3"/>
  <c r="AY90" i="3"/>
  <c r="AY75" i="3"/>
  <c r="AY387" i="3"/>
  <c r="AY444" i="3"/>
  <c r="AY269" i="3"/>
  <c r="AY311" i="3"/>
  <c r="AY535" i="3"/>
  <c r="AY555" i="3"/>
  <c r="AY68" i="3"/>
  <c r="AY178" i="3"/>
  <c r="AY117" i="3"/>
  <c r="AY254" i="3"/>
  <c r="AY365" i="3"/>
  <c r="AY57" i="3"/>
  <c r="AY130"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7" i="43"/>
  <c r="O17" i="43"/>
  <c r="P17" i="43"/>
  <c r="N17" i="43"/>
  <c r="H6" i="3"/>
  <c r="E6" i="3" s="1"/>
  <c r="C47" i="11"/>
  <c r="D45" i="11" s="1"/>
  <c r="C29" i="11"/>
  <c r="D27" i="11" s="1"/>
  <c r="D3" i="33"/>
  <c r="B2" i="33" s="1"/>
  <c r="B3" i="33" s="1"/>
  <c r="C17" i="4"/>
  <c r="B4" i="52" s="1"/>
  <c r="B43" i="72" s="1"/>
  <c r="D3" i="37"/>
  <c r="D37" i="11"/>
  <c r="C37" i="11" s="1"/>
  <c r="D19" i="11"/>
  <c r="C19" i="11" s="1"/>
  <c r="C20" i="11" s="1"/>
  <c r="C28" i="11" s="1"/>
  <c r="C27" i="11" s="1"/>
  <c r="D3" i="34"/>
  <c r="E6" i="6"/>
  <c r="L18" i="9"/>
  <c r="D3" i="21"/>
  <c r="M18" i="9"/>
  <c r="B118" i="9" s="1"/>
  <c r="B14" i="74" s="1"/>
  <c r="B1" i="74" s="1"/>
  <c r="D14" i="12"/>
  <c r="F11" i="67"/>
  <c r="M11" i="67"/>
  <c r="J10" i="67" s="1"/>
  <c r="J5" i="67" s="1"/>
  <c r="M11" i="15"/>
  <c r="J10" i="15" s="1"/>
  <c r="J5" i="15" s="1"/>
  <c r="F11" i="15"/>
  <c r="J7" i="21"/>
  <c r="AC7" i="21" s="1"/>
  <c r="V48" i="21" s="1"/>
  <c r="I48" i="21" s="1"/>
  <c r="G65" i="40"/>
  <c r="H63" i="40"/>
  <c r="C34" i="69"/>
  <c r="K16" i="1"/>
  <c r="M14" i="1"/>
  <c r="K20" i="6"/>
  <c r="M20" i="6" s="1"/>
  <c r="I20" i="6" s="1"/>
  <c r="K21" i="6"/>
  <c r="M21" i="6" s="1"/>
  <c r="I21" i="6" s="1"/>
  <c r="K22" i="6"/>
  <c r="M22" i="6" s="1"/>
  <c r="I22" i="6" s="1"/>
  <c r="K23" i="6"/>
  <c r="M23" i="6" s="1"/>
  <c r="I23" i="6" s="1"/>
  <c r="K25" i="6"/>
  <c r="M25" i="6" s="1"/>
  <c r="I25" i="6" s="1"/>
  <c r="K24" i="6"/>
  <c r="M24" i="6" s="1"/>
  <c r="I24" i="6" s="1"/>
  <c r="K26" i="6"/>
  <c r="M26" i="6" s="1"/>
  <c r="I26" i="6" s="1"/>
  <c r="K19" i="6"/>
  <c r="S6" i="1" s="1"/>
  <c r="E31" i="6"/>
  <c r="W7" i="21"/>
  <c r="F7" i="21"/>
  <c r="AB7" i="21"/>
  <c r="T48" i="21" s="1"/>
  <c r="G48" i="21" s="1"/>
  <c r="U7" i="21"/>
  <c r="H46" i="36"/>
  <c r="I59" i="34"/>
  <c r="I52" i="37"/>
  <c r="J52" i="37" s="1"/>
  <c r="K52" i="37" s="1"/>
  <c r="L52" i="37" s="1"/>
  <c r="M52" i="37" s="1"/>
  <c r="N52" i="37" s="1"/>
  <c r="O52" i="37" s="1"/>
  <c r="G68" i="39"/>
  <c r="F70" i="39"/>
  <c r="J48" i="35"/>
  <c r="C17" i="15"/>
  <c r="E6" i="70" l="1"/>
  <c r="E2" i="70" s="1"/>
  <c r="J18" i="15"/>
  <c r="J24" i="15"/>
  <c r="J26" i="15"/>
  <c r="J29" i="15" s="1"/>
  <c r="C10" i="67"/>
  <c r="C5" i="67" s="1"/>
  <c r="C53" i="67"/>
  <c r="C48" i="67" s="1"/>
  <c r="C7" i="74"/>
  <c r="C8" i="74"/>
  <c r="D19" i="6"/>
  <c r="D22" i="6"/>
  <c r="D10" i="6"/>
  <c r="D24" i="6"/>
  <c r="D28" i="6"/>
  <c r="D30" i="6" s="1"/>
  <c r="D26" i="6"/>
  <c r="D21" i="6"/>
  <c r="D29" i="6"/>
  <c r="D13" i="6"/>
  <c r="D14" i="6"/>
  <c r="M19" i="9"/>
  <c r="C118" i="9" s="1"/>
  <c r="C14" i="74" s="1"/>
  <c r="B2" i="74" s="1"/>
  <c r="L19" i="9"/>
  <c r="D11" i="6"/>
  <c r="D23" i="6"/>
  <c r="D25" i="6"/>
  <c r="D5" i="6"/>
  <c r="D20" i="6"/>
  <c r="D15" i="6"/>
  <c r="D9" i="6"/>
  <c r="D12" i="6"/>
  <c r="D8" i="6"/>
  <c r="D16" i="6" s="1"/>
  <c r="E61" i="40"/>
  <c r="C18" i="4"/>
  <c r="D6" i="6"/>
  <c r="F7" i="37"/>
  <c r="AA7" i="37" s="1"/>
  <c r="R42" i="37" s="1"/>
  <c r="C53" i="15"/>
  <c r="C48" i="15" s="1"/>
  <c r="C10" i="15"/>
  <c r="C5" i="15" s="1"/>
  <c r="C33" i="15" s="1"/>
  <c r="J24" i="67"/>
  <c r="J18" i="67"/>
  <c r="J26" i="67"/>
  <c r="J29" i="67" s="1"/>
  <c r="C14" i="12"/>
  <c r="D17" i="12"/>
  <c r="C17" i="12" s="1"/>
  <c r="D10" i="69"/>
  <c r="D10" i="11"/>
  <c r="C10" i="11" s="1"/>
  <c r="D20" i="12"/>
  <c r="C20" i="12" s="1"/>
  <c r="C18" i="12" s="1"/>
  <c r="D6" i="71"/>
  <c r="C5" i="71"/>
  <c r="D5" i="71" s="1"/>
  <c r="M20" i="43" s="1"/>
  <c r="C19" i="43" s="1"/>
  <c r="F24" i="67"/>
  <c r="F22" i="11"/>
  <c r="F25" i="12"/>
  <c r="C26" i="12" s="1"/>
  <c r="D25" i="12" s="1"/>
  <c r="F22" i="68"/>
  <c r="F22" i="69"/>
  <c r="F24" i="15"/>
  <c r="C24" i="15" s="1"/>
  <c r="H65" i="40"/>
  <c r="I63" i="40"/>
  <c r="AQ6" i="1"/>
  <c r="S16" i="1"/>
  <c r="AR6" i="1"/>
  <c r="T6" i="1"/>
  <c r="M16" i="1"/>
  <c r="N16" i="1" s="1"/>
  <c r="T16" i="1"/>
  <c r="O14" i="1"/>
  <c r="C38" i="69"/>
  <c r="C35" i="69"/>
  <c r="S26" i="6"/>
  <c r="H26" i="6"/>
  <c r="R26" i="6" s="1"/>
  <c r="S25" i="6"/>
  <c r="H25" i="6"/>
  <c r="R25" i="6" s="1"/>
  <c r="S22" i="6"/>
  <c r="H22" i="6"/>
  <c r="R22" i="6" s="1"/>
  <c r="S20" i="6"/>
  <c r="H20" i="6"/>
  <c r="R20" i="6" s="1"/>
  <c r="K27" i="6"/>
  <c r="M19" i="6"/>
  <c r="S24" i="6"/>
  <c r="H24" i="6"/>
  <c r="R24" i="6" s="1"/>
  <c r="S23" i="6"/>
  <c r="H23" i="6"/>
  <c r="R23" i="6" s="1"/>
  <c r="S21" i="6"/>
  <c r="H21" i="6"/>
  <c r="R21" i="6" s="1"/>
  <c r="S7" i="37"/>
  <c r="J59" i="34"/>
  <c r="K59" i="34" s="1"/>
  <c r="L59" i="34" s="1"/>
  <c r="M59" i="34" s="1"/>
  <c r="N59" i="34" s="1"/>
  <c r="O59" i="34" s="1"/>
  <c r="I46" i="36"/>
  <c r="J46" i="36" s="1"/>
  <c r="K46" i="36" s="1"/>
  <c r="L46" i="36" s="1"/>
  <c r="M46" i="36" s="1"/>
  <c r="N46" i="36" s="1"/>
  <c r="O46" i="36" s="1"/>
  <c r="F7" i="36" s="1"/>
  <c r="G52" i="21"/>
  <c r="H52" i="21" s="1"/>
  <c r="G53" i="21"/>
  <c r="H53" i="21" s="1"/>
  <c r="J7" i="34"/>
  <c r="K48" i="35"/>
  <c r="G70" i="39"/>
  <c r="H68" i="39"/>
  <c r="H7" i="37"/>
  <c r="H7" i="34"/>
  <c r="J7" i="36"/>
  <c r="S7" i="21"/>
  <c r="AA7" i="21"/>
  <c r="R48" i="21" s="1"/>
  <c r="I52" i="21"/>
  <c r="J52" i="21" s="1"/>
  <c r="J7" i="37"/>
  <c r="J59" i="15"/>
  <c r="J60" i="15" s="1"/>
  <c r="C14" i="15"/>
  <c r="D10" i="68"/>
  <c r="C15" i="15" l="1"/>
  <c r="C18" i="15"/>
  <c r="H7" i="36"/>
  <c r="F7" i="34"/>
  <c r="C44" i="69"/>
  <c r="D41" i="69" s="1"/>
  <c r="C26" i="69"/>
  <c r="D22" i="69" s="1"/>
  <c r="C24" i="67"/>
  <c r="C23" i="67"/>
  <c r="C10" i="68"/>
  <c r="C8" i="68" s="1"/>
  <c r="D19" i="68"/>
  <c r="D19" i="69"/>
  <c r="C10" i="69"/>
  <c r="C8" i="69" s="1"/>
  <c r="C5" i="69" s="1"/>
  <c r="C23" i="69" s="1"/>
  <c r="C32" i="15"/>
  <c r="C38" i="15"/>
  <c r="C60" i="67"/>
  <c r="C66" i="67"/>
  <c r="C44" i="68"/>
  <c r="D41" i="68" s="1"/>
  <c r="C26" i="68"/>
  <c r="D22" i="68" s="1"/>
  <c r="C44" i="11"/>
  <c r="D41" i="11" s="1"/>
  <c r="C26" i="11"/>
  <c r="D22" i="11" s="1"/>
  <c r="C25" i="11"/>
  <c r="C23" i="11"/>
  <c r="C24" i="11"/>
  <c r="C37" i="43"/>
  <c r="T13" i="43"/>
  <c r="V13" i="43" s="1"/>
  <c r="C35" i="43"/>
  <c r="T8" i="43"/>
  <c r="V8" i="43" s="1"/>
  <c r="C36" i="43"/>
  <c r="T2" i="43"/>
  <c r="V2" i="43" s="1"/>
  <c r="C29" i="43"/>
  <c r="T5" i="43"/>
  <c r="V5" i="43" s="1"/>
  <c r="C38" i="43"/>
  <c r="T6" i="43"/>
  <c r="V6" i="43" s="1"/>
  <c r="T3" i="43"/>
  <c r="V3" i="43" s="1"/>
  <c r="C39" i="43"/>
  <c r="T14" i="43"/>
  <c r="V14" i="43" s="1"/>
  <c r="T4" i="43"/>
  <c r="V4" i="43" s="1"/>
  <c r="C34" i="43"/>
  <c r="T10" i="43"/>
  <c r="V10" i="43" s="1"/>
  <c r="T12" i="43"/>
  <c r="V12" i="43" s="1"/>
  <c r="T7" i="43"/>
  <c r="V7" i="43" s="1"/>
  <c r="C33" i="43"/>
  <c r="T15" i="43"/>
  <c r="V15" i="43" s="1"/>
  <c r="T11" i="43"/>
  <c r="V11" i="43" s="1"/>
  <c r="T9" i="43"/>
  <c r="V9" i="43" s="1"/>
  <c r="T16" i="43"/>
  <c r="V16" i="43" s="1"/>
  <c r="C66" i="15"/>
  <c r="C60" i="15"/>
  <c r="C4" i="52"/>
  <c r="B45" i="72" s="1"/>
  <c r="A7" i="51"/>
  <c r="B7" i="72" s="1"/>
  <c r="A10" i="51"/>
  <c r="B9" i="72" s="1"/>
  <c r="D8" i="74"/>
  <c r="D7" i="74"/>
  <c r="D27" i="6"/>
  <c r="D31" i="6" s="1"/>
  <c r="C32" i="67"/>
  <c r="C38" i="67"/>
  <c r="I65" i="40"/>
  <c r="J63" i="40"/>
  <c r="F50" i="68"/>
  <c r="F50" i="11"/>
  <c r="F50" i="69"/>
  <c r="P14" i="1"/>
  <c r="P16" i="1" s="1"/>
  <c r="C11" i="12" s="1"/>
  <c r="O16" i="1"/>
  <c r="C34" i="11"/>
  <c r="L16" i="1"/>
  <c r="M27" i="6"/>
  <c r="I19" i="6"/>
  <c r="AC7" i="37"/>
  <c r="V42" i="37" s="1"/>
  <c r="I42" i="37" s="1"/>
  <c r="W7" i="37"/>
  <c r="U7" i="34"/>
  <c r="AB7" i="34"/>
  <c r="T49" i="34" s="1"/>
  <c r="G49" i="34" s="1"/>
  <c r="I68" i="39"/>
  <c r="H70" i="39"/>
  <c r="AC7" i="34"/>
  <c r="V49" i="34" s="1"/>
  <c r="I49" i="34" s="1"/>
  <c r="W7" i="34"/>
  <c r="S7" i="36"/>
  <c r="AA7" i="36"/>
  <c r="R36" i="36" s="1"/>
  <c r="E48" i="21"/>
  <c r="R49" i="21"/>
  <c r="W7" i="36"/>
  <c r="AC7" i="36"/>
  <c r="V36" i="36" s="1"/>
  <c r="I36" i="36" s="1"/>
  <c r="U7" i="37"/>
  <c r="AB7" i="37"/>
  <c r="T42" i="37" s="1"/>
  <c r="G42" i="37" s="1"/>
  <c r="L48" i="35"/>
  <c r="M48" i="35" s="1"/>
  <c r="N48" i="35" s="1"/>
  <c r="O48" i="35" s="1"/>
  <c r="H7" i="35" s="1"/>
  <c r="F7" i="35"/>
  <c r="J7" i="35"/>
  <c r="AB7" i="36"/>
  <c r="T36" i="36" s="1"/>
  <c r="G36" i="36" s="1"/>
  <c r="U7" i="36"/>
  <c r="S7" i="34"/>
  <c r="AA7" i="34"/>
  <c r="R49" i="34" s="1"/>
  <c r="E42" i="37"/>
  <c r="R43" i="37"/>
  <c r="Q48" i="15"/>
  <c r="C34" i="68"/>
  <c r="C19" i="15" l="1"/>
  <c r="C20" i="15" s="1"/>
  <c r="C26" i="15" s="1"/>
  <c r="C22" i="11"/>
  <c r="C31" i="11" s="1"/>
  <c r="C29" i="67"/>
  <c r="C33" i="67" s="1"/>
  <c r="C31" i="67" s="1"/>
  <c r="G39" i="43"/>
  <c r="I39" i="43" s="1"/>
  <c r="E39" i="43"/>
  <c r="C19" i="69"/>
  <c r="D37" i="69"/>
  <c r="C37" i="69" s="1"/>
  <c r="C33" i="69" s="1"/>
  <c r="C39" i="69" s="1"/>
  <c r="C43" i="69" s="1"/>
  <c r="I6" i="6"/>
  <c r="I5" i="6"/>
  <c r="G33" i="43"/>
  <c r="I33" i="43" s="1"/>
  <c r="E33" i="43"/>
  <c r="G34" i="43"/>
  <c r="I34" i="43" s="1"/>
  <c r="E34" i="43"/>
  <c r="E38" i="43"/>
  <c r="G38" i="43"/>
  <c r="I38" i="43" s="1"/>
  <c r="E29" i="43"/>
  <c r="C26" i="43" s="1"/>
  <c r="C30" i="43"/>
  <c r="E30" i="43" s="1"/>
  <c r="C27" i="43" s="1"/>
  <c r="G36" i="43"/>
  <c r="I36" i="43" s="1"/>
  <c r="E36" i="43"/>
  <c r="G35" i="43"/>
  <c r="I35" i="43" s="1"/>
  <c r="E35" i="43"/>
  <c r="G37" i="43"/>
  <c r="I37" i="43" s="1"/>
  <c r="E37" i="43"/>
  <c r="C19" i="68"/>
  <c r="C24" i="68" s="1"/>
  <c r="D37" i="68"/>
  <c r="C37" i="68" s="1"/>
  <c r="J65" i="40"/>
  <c r="K63" i="40"/>
  <c r="C35" i="68"/>
  <c r="C38" i="68"/>
  <c r="C35" i="11"/>
  <c r="C38" i="11"/>
  <c r="C12" i="12"/>
  <c r="C15" i="12"/>
  <c r="I27" i="6"/>
  <c r="S19" i="6"/>
  <c r="S27" i="6" s="1"/>
  <c r="H19" i="6"/>
  <c r="E47" i="37"/>
  <c r="F47" i="37" s="1"/>
  <c r="E46" i="37"/>
  <c r="F46" i="37" s="1"/>
  <c r="G40" i="36"/>
  <c r="H40" i="36" s="1"/>
  <c r="G41" i="36"/>
  <c r="H41" i="36" s="1"/>
  <c r="G46" i="37"/>
  <c r="H46" i="37" s="1"/>
  <c r="G47" i="37"/>
  <c r="H47" i="37" s="1"/>
  <c r="C43" i="37"/>
  <c r="B2" i="37" s="1"/>
  <c r="B3" i="37" s="1"/>
  <c r="C42" i="37"/>
  <c r="R50" i="34"/>
  <c r="E49" i="34"/>
  <c r="I54" i="34" s="1"/>
  <c r="J54" i="34" s="1"/>
  <c r="AC7" i="35"/>
  <c r="V38" i="35" s="1"/>
  <c r="I38" i="35" s="1"/>
  <c r="W7" i="35"/>
  <c r="AB7" i="35"/>
  <c r="T38" i="35" s="1"/>
  <c r="G38" i="35" s="1"/>
  <c r="U7" i="35"/>
  <c r="E52" i="21"/>
  <c r="F52" i="21" s="1"/>
  <c r="E53" i="21"/>
  <c r="F53" i="21" s="1"/>
  <c r="I53" i="21"/>
  <c r="J53" i="21" s="1"/>
  <c r="E36" i="36"/>
  <c r="R37" i="36"/>
  <c r="I53" i="34"/>
  <c r="J53" i="34" s="1"/>
  <c r="J68" i="39"/>
  <c r="I70" i="39"/>
  <c r="I47" i="37"/>
  <c r="J47" i="37" s="1"/>
  <c r="I46" i="37"/>
  <c r="J46" i="37" s="1"/>
  <c r="S7" i="35"/>
  <c r="AA7" i="35"/>
  <c r="R38" i="35" s="1"/>
  <c r="I41" i="36"/>
  <c r="J41" i="36" s="1"/>
  <c r="I40" i="36"/>
  <c r="J40" i="36" s="1"/>
  <c r="C48" i="21"/>
  <c r="C49" i="21"/>
  <c r="B2" i="21" s="1"/>
  <c r="B3" i="21" s="1"/>
  <c r="G53" i="34"/>
  <c r="H53" i="34" s="1"/>
  <c r="G54" i="34"/>
  <c r="H54" i="34" s="1"/>
  <c r="E6" i="76"/>
  <c r="C46" i="69" l="1"/>
  <c r="C45" i="69" s="1"/>
  <c r="C36" i="67"/>
  <c r="Q49" i="67"/>
  <c r="C42" i="69"/>
  <c r="C41" i="69" s="1"/>
  <c r="C57" i="67"/>
  <c r="C61" i="67" s="1"/>
  <c r="C59" i="67" s="1"/>
  <c r="J14" i="67"/>
  <c r="J22" i="67" s="1"/>
  <c r="J19" i="67"/>
  <c r="J17" i="67" s="1"/>
  <c r="J59" i="67"/>
  <c r="J60" i="67" s="1"/>
  <c r="Q48" i="67" s="1"/>
  <c r="C13" i="67"/>
  <c r="C56" i="67" s="1"/>
  <c r="C65" i="67" s="1"/>
  <c r="E2" i="76"/>
  <c r="C23" i="15"/>
  <c r="C29" i="15" s="1"/>
  <c r="B2" i="43"/>
  <c r="C24" i="69"/>
  <c r="C20" i="69"/>
  <c r="C28" i="69" s="1"/>
  <c r="C27" i="69" s="1"/>
  <c r="L63" i="40"/>
  <c r="K65" i="40"/>
  <c r="C33" i="68"/>
  <c r="C39" i="68" s="1"/>
  <c r="C16" i="12"/>
  <c r="C21" i="12" s="1"/>
  <c r="C22" i="12" s="1"/>
  <c r="C30" i="12" s="1"/>
  <c r="C28" i="12" s="1"/>
  <c r="C33" i="11"/>
  <c r="R19" i="6"/>
  <c r="H27" i="6"/>
  <c r="K68" i="39"/>
  <c r="J70" i="39"/>
  <c r="E40" i="36"/>
  <c r="F40" i="36" s="1"/>
  <c r="E41" i="36"/>
  <c r="F41" i="36" s="1"/>
  <c r="E54" i="34"/>
  <c r="F54" i="34" s="1"/>
  <c r="E53" i="34"/>
  <c r="F53" i="34" s="1"/>
  <c r="E38" i="35"/>
  <c r="I43" i="35" s="1"/>
  <c r="J43" i="35" s="1"/>
  <c r="R39" i="35"/>
  <c r="C36" i="36"/>
  <c r="C37" i="36"/>
  <c r="B2" i="36" s="1"/>
  <c r="B3" i="36" s="1"/>
  <c r="G42" i="35"/>
  <c r="H42" i="35" s="1"/>
  <c r="G43" i="35"/>
  <c r="H43" i="35" s="1"/>
  <c r="I42" i="35"/>
  <c r="J42" i="35" s="1"/>
  <c r="C49" i="34"/>
  <c r="C50" i="34"/>
  <c r="B2" i="34" s="1"/>
  <c r="B3" i="34" s="1"/>
  <c r="B6" i="76"/>
  <c r="C49" i="69" l="1"/>
  <c r="C51" i="69" s="1"/>
  <c r="C37" i="67"/>
  <c r="C30" i="67" s="1"/>
  <c r="C39" i="67" s="1"/>
  <c r="Q69" i="67" s="1"/>
  <c r="C64" i="67"/>
  <c r="C58" i="67" s="1"/>
  <c r="C67" i="67" s="1"/>
  <c r="C68" i="67" s="1"/>
  <c r="C71" i="67" s="1"/>
  <c r="J13" i="67"/>
  <c r="J23" i="67" s="1"/>
  <c r="J16" i="67" s="1"/>
  <c r="J25" i="67" s="1"/>
  <c r="L46" i="67"/>
  <c r="C75" i="67"/>
  <c r="C80" i="67" s="1"/>
  <c r="C79" i="67" s="1"/>
  <c r="Q70" i="67"/>
  <c r="B2" i="76"/>
  <c r="B3" i="76" s="1"/>
  <c r="J19" i="15"/>
  <c r="C57" i="15"/>
  <c r="C13" i="15"/>
  <c r="Q49" i="15"/>
  <c r="C36" i="15"/>
  <c r="J14" i="15"/>
  <c r="C25" i="69"/>
  <c r="C22" i="69" s="1"/>
  <c r="C31" i="69" s="1"/>
  <c r="B3" i="43"/>
  <c r="L65" i="40"/>
  <c r="M63" i="40"/>
  <c r="C42" i="68"/>
  <c r="R27" i="6"/>
  <c r="R6" i="1"/>
  <c r="C43" i="68"/>
  <c r="C46" i="68"/>
  <c r="C45" i="68" s="1"/>
  <c r="C42" i="11"/>
  <c r="C39" i="11"/>
  <c r="C43" i="11" s="1"/>
  <c r="C27" i="12"/>
  <c r="C25" i="12" s="1"/>
  <c r="C32" i="12" s="1"/>
  <c r="B2" i="12" s="1"/>
  <c r="B3" i="12" s="1"/>
  <c r="C39" i="35"/>
  <c r="B2" i="35" s="1"/>
  <c r="B3" i="35" s="1"/>
  <c r="C38" i="35"/>
  <c r="E43" i="35"/>
  <c r="F43" i="35" s="1"/>
  <c r="E42" i="35"/>
  <c r="F42" i="35" s="1"/>
  <c r="L68" i="39"/>
  <c r="K70" i="39"/>
  <c r="F35" i="15"/>
  <c r="M21" i="15"/>
  <c r="L51" i="67"/>
  <c r="C52" i="69" l="1"/>
  <c r="B2" i="69" s="1"/>
  <c r="B3" i="69" s="1"/>
  <c r="Q68" i="67"/>
  <c r="C40" i="67"/>
  <c r="C45" i="67" s="1"/>
  <c r="C46" i="67" s="1"/>
  <c r="Q67" i="67"/>
  <c r="L57" i="67"/>
  <c r="L60" i="67" s="1"/>
  <c r="Q70" i="15"/>
  <c r="C37" i="15"/>
  <c r="C56" i="15"/>
  <c r="C65" i="15" s="1"/>
  <c r="C75" i="15"/>
  <c r="J13" i="15"/>
  <c r="J23" i="15" s="1"/>
  <c r="J22" i="15"/>
  <c r="C61" i="15"/>
  <c r="C64" i="15"/>
  <c r="M65" i="40"/>
  <c r="N63" i="40"/>
  <c r="J20" i="15"/>
  <c r="J17" i="15" s="1"/>
  <c r="C34" i="15"/>
  <c r="C31" i="15" s="1"/>
  <c r="F63" i="15"/>
  <c r="C62" i="15" s="1"/>
  <c r="R16" i="1"/>
  <c r="C41" i="68"/>
  <c r="C49" i="68" s="1"/>
  <c r="C51" i="68" s="1"/>
  <c r="C41" i="11"/>
  <c r="C46" i="11"/>
  <c r="C45" i="11" s="1"/>
  <c r="M68" i="39"/>
  <c r="L70" i="39"/>
  <c r="C57" i="69" l="1"/>
  <c r="C56" i="69" s="1"/>
  <c r="C59" i="15"/>
  <c r="C58" i="15" s="1"/>
  <c r="C67" i="15" s="1"/>
  <c r="C68" i="15" s="1"/>
  <c r="C71" i="15" s="1"/>
  <c r="Q56" i="67"/>
  <c r="D2" i="67"/>
  <c r="B3" i="67" s="1"/>
  <c r="Q47" i="67"/>
  <c r="Q53" i="67" s="1"/>
  <c r="C83" i="67"/>
  <c r="C82" i="67" s="1"/>
  <c r="Q65" i="67"/>
  <c r="C43" i="67"/>
  <c r="J16" i="15"/>
  <c r="J25" i="15" s="1"/>
  <c r="C30" i="15"/>
  <c r="C39" i="15" s="1"/>
  <c r="C80" i="15" s="1"/>
  <c r="C79" i="15" s="1"/>
  <c r="Q66" i="67"/>
  <c r="Q57" i="67"/>
  <c r="J7" i="40"/>
  <c r="O63" i="40"/>
  <c r="O65" i="40" s="1"/>
  <c r="N65" i="40"/>
  <c r="L57" i="15"/>
  <c r="L60" i="15" s="1"/>
  <c r="C49" i="11"/>
  <c r="C51" i="11" s="1"/>
  <c r="C52" i="11" s="1"/>
  <c r="B2" i="11" s="1"/>
  <c r="B3" i="11" s="1"/>
  <c r="N68" i="39"/>
  <c r="M70" i="39"/>
  <c r="L51" i="15"/>
  <c r="Q62" i="67" l="1"/>
  <c r="B2" i="67"/>
  <c r="Q75" i="67"/>
  <c r="C40" i="15"/>
  <c r="Q47" i="15" s="1"/>
  <c r="Q53" i="15" s="1"/>
  <c r="Q69" i="15"/>
  <c r="Q68" i="15" s="1"/>
  <c r="Q67" i="15"/>
  <c r="H7" i="40"/>
  <c r="F7" i="40"/>
  <c r="W7" i="40"/>
  <c r="AC7" i="40"/>
  <c r="V42" i="40" s="1"/>
  <c r="I42" i="40" s="1"/>
  <c r="I46" i="40" s="1"/>
  <c r="J46" i="40" s="1"/>
  <c r="L46" i="15"/>
  <c r="Q57" i="15"/>
  <c r="Q66" i="15"/>
  <c r="C56" i="11"/>
  <c r="C57" i="11" s="1"/>
  <c r="O68" i="39"/>
  <c r="O70" i="39" s="1"/>
  <c r="N70" i="39"/>
  <c r="C43" i="15" l="1"/>
  <c r="C46" i="15"/>
  <c r="C83" i="15"/>
  <c r="C82" i="15" s="1"/>
  <c r="B2" i="15"/>
  <c r="B3" i="15" s="1"/>
  <c r="Q56" i="15"/>
  <c r="Q65" i="15"/>
  <c r="Q75" i="15" s="1"/>
  <c r="S7" i="40"/>
  <c r="AA7" i="40"/>
  <c r="R42" i="40" s="1"/>
  <c r="U7" i="40"/>
  <c r="AB7" i="40"/>
  <c r="T42" i="40" s="1"/>
  <c r="G42" i="40" s="1"/>
  <c r="Q62" i="15"/>
  <c r="F7" i="39"/>
  <c r="H7" i="39"/>
  <c r="J7" i="39"/>
  <c r="D20" i="9"/>
  <c r="D19" i="9"/>
  <c r="AO6" i="1"/>
  <c r="D21" i="9" l="1"/>
  <c r="D102" i="9"/>
  <c r="B6" i="70"/>
  <c r="B2" i="70" s="1"/>
  <c r="B3" i="70" s="1"/>
  <c r="G46" i="40"/>
  <c r="H46" i="40" s="1"/>
  <c r="G47" i="40"/>
  <c r="H47" i="40" s="1"/>
  <c r="E42" i="40"/>
  <c r="R43" i="40"/>
  <c r="D103" i="9"/>
  <c r="AC7" i="39"/>
  <c r="V47" i="39" s="1"/>
  <c r="I47" i="39" s="1"/>
  <c r="W7" i="39"/>
  <c r="AB7" i="39"/>
  <c r="T47" i="39" s="1"/>
  <c r="G47" i="39" s="1"/>
  <c r="U7" i="39"/>
  <c r="S7" i="39"/>
  <c r="AA7" i="39"/>
  <c r="R47" i="39" s="1"/>
  <c r="C43" i="40" l="1"/>
  <c r="C42" i="40"/>
  <c r="I47" i="40"/>
  <c r="J47" i="40" s="1"/>
  <c r="E47" i="40"/>
  <c r="F47" i="40" s="1"/>
  <c r="E46" i="40"/>
  <c r="F46" i="40" s="1"/>
  <c r="E47" i="39"/>
  <c r="I52" i="39" s="1"/>
  <c r="J52" i="39" s="1"/>
  <c r="R48" i="39"/>
  <c r="G51" i="39"/>
  <c r="H51" i="39" s="1"/>
  <c r="G52" i="39"/>
  <c r="H52" i="39" s="1"/>
  <c r="I51" i="39"/>
  <c r="J51" i="39" s="1"/>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C48" i="39"/>
  <c r="C47" i="39"/>
  <c r="E51" i="39"/>
  <c r="F51" i="39" s="1"/>
  <c r="E52" i="39"/>
  <c r="F52" i="3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6" i="68" l="1"/>
  <c r="C7" i="68" s="1"/>
  <c r="C5" i="68" s="1"/>
  <c r="C20" i="68" s="1"/>
  <c r="C25" i="68" s="1"/>
  <c r="C23" i="68" l="1"/>
  <c r="C22" i="68" s="1"/>
  <c r="C28" i="68"/>
  <c r="C27" i="68" s="1"/>
  <c r="C31" i="68" l="1"/>
  <c r="C52" i="68" s="1"/>
  <c r="B2" i="68" s="1"/>
  <c r="C19" i="9"/>
  <c r="C57" i="68" l="1"/>
  <c r="C56" i="68" s="1"/>
  <c r="C102" i="9"/>
  <c r="G19" i="9"/>
  <c r="C21" i="9"/>
  <c r="D22" i="9"/>
  <c r="B3" i="68"/>
  <c r="D35" i="9"/>
  <c r="D34" i="9"/>
  <c r="C20" i="9"/>
  <c r="G20" i="9" l="1"/>
  <c r="F35" i="6" s="1"/>
  <c r="F39" i="6" s="1"/>
  <c r="C103" i="9"/>
  <c r="C32" i="9"/>
  <c r="G21" i="9"/>
  <c r="H118" i="9" l="1"/>
  <c r="C35" i="9"/>
  <c r="F118" i="9" s="1"/>
  <c r="C34" i="9" l="1"/>
  <c r="D118" i="9" s="1"/>
  <c r="D119" i="9" s="1"/>
  <c r="D5" i="52" s="1"/>
  <c r="B49" i="72" s="1"/>
  <c r="G118" i="9"/>
  <c r="G4" i="52" s="1"/>
  <c r="B52" i="72" s="1"/>
  <c r="F4" i="52"/>
  <c r="B51" i="72" s="1"/>
  <c r="F119" i="9"/>
  <c r="F5" i="52" s="1"/>
  <c r="B53" i="72" s="1"/>
  <c r="H101" i="9"/>
  <c r="H119" i="9"/>
  <c r="H5" i="52" s="1"/>
  <c r="H4" i="52"/>
  <c r="I118" i="9"/>
  <c r="C104" i="9"/>
  <c r="D14" i="74"/>
  <c r="D4" i="52" l="1"/>
  <c r="B47" i="72" s="1"/>
  <c r="D45" i="9"/>
  <c r="D5" i="53"/>
  <c r="M48" i="9"/>
  <c r="H107" i="9"/>
  <c r="E14" i="74"/>
  <c r="B5" i="74"/>
  <c r="F14" i="74"/>
  <c r="C105" i="9"/>
  <c r="I4" i="52"/>
  <c r="H102" i="9"/>
  <c r="D7" i="53" s="1"/>
  <c r="B21" i="72" s="1"/>
  <c r="E118" i="9"/>
  <c r="E4" i="52" s="1"/>
  <c r="B48" i="72" s="1"/>
  <c r="D53" i="9" l="1"/>
  <c r="C78" i="9"/>
  <c r="C73" i="9" s="1"/>
  <c r="C93" i="9"/>
  <c r="C86" i="9" s="1"/>
  <c r="D55" i="9"/>
  <c r="M53" i="9" s="1"/>
  <c r="C72" i="9"/>
  <c r="C85" i="9"/>
  <c r="D52" i="9"/>
  <c r="C64" i="9"/>
  <c r="C63" i="9" s="1"/>
  <c r="C67" i="9" s="1"/>
  <c r="C68" i="9" s="1"/>
  <c r="D54" i="9" s="1"/>
  <c r="C5" i="74"/>
  <c r="D5" i="74"/>
  <c r="D13" i="53"/>
  <c r="H108" i="9"/>
  <c r="D15" i="53" s="1"/>
  <c r="B31" i="72" s="1"/>
  <c r="D122" i="9"/>
  <c r="M49" i="9"/>
  <c r="D6" i="53"/>
  <c r="B22" i="72" s="1"/>
  <c r="B20" i="72"/>
  <c r="C95" i="9" l="1"/>
  <c r="C96" i="9" s="1"/>
  <c r="E96" i="9" s="1"/>
  <c r="E97" i="9" s="1"/>
  <c r="L68" i="9"/>
  <c r="M68" i="9" s="1"/>
  <c r="L64" i="9"/>
  <c r="M64" i="9" s="1"/>
  <c r="L66" i="9"/>
  <c r="M66" i="9" s="1"/>
  <c r="L65" i="9"/>
  <c r="M65" i="9" s="1"/>
  <c r="L67" i="9"/>
  <c r="M67" i="9" s="1"/>
  <c r="L63" i="9"/>
  <c r="M63" i="9" s="1"/>
  <c r="G14" i="74"/>
  <c r="B6" i="74" s="1"/>
  <c r="D123" i="9"/>
  <c r="D9" i="52" s="1"/>
  <c r="D8" i="52"/>
  <c r="B30" i="72"/>
  <c r="D14" i="53"/>
  <c r="B32" i="72" s="1"/>
  <c r="C79" i="9"/>
  <c r="C97" i="9" l="1"/>
  <c r="D58" i="9" s="1"/>
  <c r="D56" i="9" s="1"/>
  <c r="M54" i="9" s="1"/>
  <c r="N57" i="9" s="1"/>
  <c r="N58" i="9" s="1"/>
  <c r="D6" i="74"/>
  <c r="C6" i="74"/>
  <c r="M69" i="9"/>
  <c r="N69" i="9" s="1"/>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<sst xmlns="http://schemas.openxmlformats.org/spreadsheetml/2006/main" count="7287" uniqueCount="3080">
  <si>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</si>
  <si>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</si>
  <si>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</si>
  <si>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</si>
  <si>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</si>
  <si>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</si>
  <si>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</si>
  <si>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</si>
  <si>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</si>
  <si>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</si>
  <si>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</si>
  <si>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</si>
  <si>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</si>
  <si>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</si>
  <si>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</si>
  <si>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</si>
  <si>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</si>
  <si>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</si>
  <si>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</si>
  <si>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</si>
  <si>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</si>
  <si>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</si>
  <si>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</si>
  <si>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</si>
  <si>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</si>
  <si>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</si>
  <si>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</si>
  <si>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</si>
  <si>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</si>
  <si>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</si>
  <si>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</si>
  <si>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</si>
  <si>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</si>
  <si>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</si>
  <si>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</si>
  <si>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</si>
  <si>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</si>
  <si>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</si>
  <si>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</si>
  <si>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</si>
  <si>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</si>
  <si>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</si>
  <si>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</si>
  <si>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</si>
  <si>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</si>
  <si>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</si>
  <si>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</si>
  <si>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</si>
  <si>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</si>
  <si>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</si>
  <si>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</si>
  <si>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</si>
  <si>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</si>
  <si>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</si>
  <si>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</si>
  <si>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</si>
  <si>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</si>
  <si>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</si>
  <si>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</si>
  <si>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</si>
  <si>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</si>
  <si>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</si>
  <si>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</si>
  <si>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</si>
  <si>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</si>
  <si>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</si>
  <si>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</si>
  <si>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</si>
  <si>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</si>
  <si>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</si>
  <si>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</si>
  <si>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</si>
  <si>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</si>
  <si>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</si>
  <si>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</si>
  <si>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</si>
  <si>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</si>
  <si>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</si>
  <si>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</si>
  <si>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</si>
  <si>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</si>
  <si>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</si>
  <si>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</si>
  <si>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</si>
  <si>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</si>
  <si>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</si>
  <si>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</si>
  <si>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</si>
  <si>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</si>
  <si>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</si>
  <si>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</si>
  <si>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</si>
  <si>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</si>
  <si>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</si>
  <si>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</si>
  <si>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</si>
  <si>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</si>
  <si>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</si>
  <si>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</si>
  <si>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</si>
  <si>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</si>
  <si>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</si>
  <si>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</si>
  <si>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</si>
  <si>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</si>
  <si>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</si>
  <si>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</si>
  <si>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</si>
  <si>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</si>
  <si>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</si>
  <si>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</si>
  <si>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</si>
  <si>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</si>
  <si>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</si>
  <si>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</si>
  <si>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</si>
  <si>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</si>
  <si>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</si>
  <si>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</si>
  <si>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</si>
  <si>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</si>
  <si>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</si>
  <si>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</si>
  <si>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</si>
  <si>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</si>
  <si>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</si>
  <si>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</si>
  <si>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</si>
  <si>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</si>
  <si>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</si>
  <si>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</si>
  <si>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</si>
  <si>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</si>
  <si>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</si>
  <si>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</si>
  <si>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</si>
  <si>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</si>
  <si>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</si>
  <si>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</si>
  <si>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</si>
  <si>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</si>
  <si>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</si>
  <si>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</si>
  <si>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</si>
  <si>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</si>
  <si>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</si>
  <si>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</si>
  <si>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</si>
  <si>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</si>
  <si>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</si>
  <si>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</si>
  <si>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</si>
  <si>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</si>
  <si>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</si>
  <si>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</si>
  <si>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</si>
  <si>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</si>
  <si>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</si>
  <si>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</si>
  <si>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</si>
  <si>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</si>
  <si>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</si>
  <si>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</si>
  <si>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</si>
  <si>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</si>
  <si>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</si>
  <si>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</si>
  <si>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</si>
  <si>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</si>
  <si>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</si>
  <si>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</si>
  <si>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</si>
  <si>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</si>
  <si>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</si>
  <si>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</si>
  <si>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</si>
  <si>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</si>
  <si>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</si>
  <si>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</si>
  <si>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</si>
  <si>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</si>
  <si>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</si>
  <si>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</si>
  <si>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</si>
  <si>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</si>
  <si>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</si>
  <si>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</si>
  <si>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</si>
  <si>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</si>
  <si>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</si>
  <si>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</si>
  <si>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</si>
  <si>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</si>
  <si>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</si>
  <si>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</si>
  <si>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</si>
  <si>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</si>
  <si>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</si>
  <si>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</si>
  <si>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</si>
  <si>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</si>
  <si>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</si>
  <si>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</si>
  <si>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</si>
  <si>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</si>
  <si>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</si>
  <si>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</si>
  <si>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</si>
  <si>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</si>
  <si>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</si>
  <si>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</si>
  <si>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</si>
  <si>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</si>
  <si>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</si>
  <si>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</si>
  <si>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</si>
  <si>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</si>
  <si>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</si>
  <si>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</si>
  <si>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</si>
  <si>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</si>
  <si>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</si>
  <si>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</si>
  <si>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</si>
  <si>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</si>
  <si>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</si>
  <si>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</si>
  <si>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</si>
  <si>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</si>
  <si>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</si>
  <si>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</si>
  <si>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</si>
  <si>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</si>
  <si>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</si>
  <si>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</si>
  <si>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</si>
  <si>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</si>
  <si>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</si>
  <si>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</si>
  <si>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</si>
  <si>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</si>
  <si>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</si>
  <si>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</si>
  <si>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</si>
  <si>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</si>
  <si>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</si>
  <si>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</si>
  <si>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</si>
  <si>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</si>
  <si>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</si>
  <si>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</si>
  <si>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</si>
  <si>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</si>
  <si>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</si>
  <si>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</si>
  <si>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</si>
  <si>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</si>
  <si>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</si>
  <si>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</si>
  <si>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</si>
  <si>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</si>
  <si>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</si>
  <si>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</si>
  <si>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</si>
  <si>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</si>
  <si>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</si>
  <si>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</si>
  <si>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</si>
  <si>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</si>
  <si>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</si>
  <si>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</si>
  <si>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</si>
  <si>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</si>
  <si>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</si>
  <si>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</si>
  <si>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</si>
  <si>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</si>
  <si>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</si>
  <si>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</si>
  <si>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</si>
  <si>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</si>
  <si>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</si>
  <si>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</si>
  <si>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</si>
  <si>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</si>
  <si>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</si>
  <si>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</si>
  <si>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</si>
  <si>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</si>
  <si>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</si>
  <si>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</si>
  <si>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</si>
  <si>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</si>
  <si>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</si>
  <si>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</si>
  <si>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</si>
  <si>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</si>
  <si>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</si>
  <si>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</si>
  <si>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</si>
  <si>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</si>
  <si>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</si>
  <si>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</si>
  <si>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</si>
  <si>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</si>
  <si>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</si>
  <si>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</si>
  <si>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</si>
  <si>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</si>
  <si>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</si>
  <si>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</si>
  <si>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</si>
  <si>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</si>
  <si>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</si>
  <si>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</si>
  <si>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</si>
  <si>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</si>
  <si>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</si>
  <si>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</si>
  <si>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</si>
  <si>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</si>
  <si>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</si>
  <si>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</si>
  <si>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</si>
  <si>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</si>
  <si>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</si>
  <si>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</si>
  <si>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</si>
  <si>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</si>
  <si>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</si>
  <si>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</si>
  <si>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</si>
  <si>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</si>
  <si>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</si>
  <si>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</si>
  <si>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</si>
  <si>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</si>
  <si>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</si>
  <si>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</si>
  <si>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</si>
  <si>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</si>
  <si>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</si>
  <si>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</si>
  <si>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</si>
  <si>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</si>
  <si>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</si>
  <si>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</si>
  <si>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</si>
  <si>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</si>
  <si>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</si>
  <si>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</si>
  <si>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</si>
  <si>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</si>
  <si>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</si>
  <si>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</si>
  <si>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</si>
  <si>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</si>
  <si>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</si>
  <si>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</si>
  <si>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</si>
  <si>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</si>
  <si>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</si>
  <si>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</si>
  <si>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</si>
  <si>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</si>
  <si>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</si>
  <si>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</si>
  <si>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</si>
  <si>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</si>
  <si>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</si>
  <si>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</si>
  <si>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</si>
  <si>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</si>
  <si>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</si>
  <si>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</si>
  <si>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</si>
  <si>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</si>
  <si>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</si>
  <si>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</si>
  <si>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</si>
  <si>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</si>
  <si>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</si>
  <si>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</si>
  <si>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</si>
  <si>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</si>
  <si>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</si>
  <si>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</si>
  <si>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</si>
  <si>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</si>
  <si>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</si>
  <si>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</si>
  <si>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</si>
  <si>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</si>
  <si>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</si>
  <si>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</si>
  <si>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</si>
  <si>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</si>
  <si>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</si>
  <si>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</si>
  <si>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</si>
  <si>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</si>
  <si>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</si>
  <si>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</si>
  <si>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</si>
  <si>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</si>
  <si>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</si>
  <si>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</si>
  <si>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</si>
  <si>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</si>
  <si>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</si>
  <si>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</si>
  <si>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</si>
  <si>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</si>
  <si>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</si>
  <si>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</si>
  <si>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</si>
  <si>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</si>
  <si>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</si>
  <si>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</si>
  <si>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</si>
  <si>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</si>
  <si>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</si>
  <si>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</si>
  <si>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</si>
  <si>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</si>
  <si>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</si>
  <si>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</si>
  <si>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</si>
  <si>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</si>
  <si>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</si>
  <si>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</si>
  <si>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</si>
  <si>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</si>
  <si>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</si>
  <si>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</si>
  <si>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</si>
  <si>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</si>
  <si>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</si>
  <si>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</si>
  <si>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</si>
  <si>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</si>
  <si>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</si>
  <si>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</si>
  <si>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</si>
  <si>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</si>
  <si>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</si>
  <si>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</si>
  <si>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</si>
  <si>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</si>
  <si>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</si>
  <si>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</si>
  <si>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</si>
  <si>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</si>
  <si>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</si>
  <si>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</si>
  <si>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</si>
  <si>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</si>
  <si>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</si>
  <si>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</si>
  <si>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</si>
  <si>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</si>
  <si>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</si>
  <si>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</si>
  <si>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</si>
  <si>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</si>
  <si>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</si>
  <si>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</si>
  <si>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</si>
  <si>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</si>
  <si>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</si>
  <si>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</si>
  <si>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</si>
  <si>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</si>
  <si>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</si>
  <si>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</si>
  <si>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</si>
  <si>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</si>
  <si>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</si>
  <si>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</si>
  <si>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</si>
  <si>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</si>
  <si>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</si>
  <si>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</si>
  <si>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</si>
  <si>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</si>
  <si>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</si>
  <si>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</si>
  <si>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</si>
  <si>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</si>
  <si>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</si>
  <si>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</si>
  <si>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</si>
  <si>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</si>
  <si>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</si>
  <si>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</si>
  <si>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</si>
  <si>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</si>
  <si>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</si>
  <si>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</si>
  <si>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</si>
  <si>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</si>
  <si>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</si>
  <si>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</si>
  <si>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</si>
  <si>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</si>
  <si>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</si>
  <si>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</si>
  <si>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</si>
  <si>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</si>
  <si>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</si>
  <si>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</si>
  <si>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</si>
  <si>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</si>
  <si>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</si>
  <si>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</si>
  <si>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</si>
  <si>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</si>
  <si>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</si>
  <si>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</si>
  <si>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</si>
  <si>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</si>
  <si>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</si>
  <si>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</si>
  <si>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</si>
  <si>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</si>
  <si>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</si>
  <si>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</si>
  <si>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</si>
  <si>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</si>
  <si>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</si>
  <si>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</si>
  <si>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</si>
  <si>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</si>
  <si>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</si>
  <si>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</si>
  <si>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</si>
  <si>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</si>
  <si>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</si>
  <si>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</si>
  <si>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</si>
  <si>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</si>
  <si>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</si>
  <si>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</si>
  <si>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</si>
  <si>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</si>
  <si>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</si>
  <si>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</si>
  <si>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</si>
  <si>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</si>
  <si>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</si>
  <si>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</si>
  <si>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</si>
  <si>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</si>
  <si>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</si>
  <si>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</si>
  <si>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</si>
  <si>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</si>
  <si>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</si>
  <si>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</si>
  <si>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</si>
  <si>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</si>
  <si>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</si>
  <si>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</si>
  <si>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</si>
  <si>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</si>
  <si>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</si>
  <si>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</si>
  <si>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</si>
  <si>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</si>
  <si>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</si>
  <si>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</si>
  <si>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</si>
  <si>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</si>
  <si>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</si>
  <si>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</si>
  <si>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</si>
  <si>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</si>
  <si>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</si>
  <si>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</si>
  <si>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</si>
  <si>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</si>
  <si>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</si>
  <si>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</si>
  <si>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</si>
  <si>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</si>
  <si>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</si>
  <si>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</si>
  <si>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</si>
  <si>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</si>
  <si>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</si>
  <si>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</si>
  <si>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</si>
  <si>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</si>
  <si>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</si>
  <si>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</si>
  <si>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</si>
  <si>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</si>
  <si>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</si>
  <si>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</si>
  <si>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</si>
  <si>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</si>
  <si>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</si>
  <si>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</si>
  <si>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</si>
  <si>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</si>
  <si>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</si>
  <si>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</si>
  <si>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</si>
  <si>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</si>
  <si>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</si>
  <si>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</si>
  <si>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</si>
  <si>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</si>
  <si>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</si>
  <si>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</si>
  <si>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</si>
  <si>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</si>
  <si>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</si>
  <si>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</si>
  <si>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</si>
  <si>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</si>
  <si>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</si>
  <si>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</si>
  <si>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</si>
  <si>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</si>
  <si>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</si>
  <si>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</si>
  <si>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</si>
  <si>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</si>
  <si>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</si>
  <si>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</si>
  <si>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</si>
  <si>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</si>
  <si>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</si>
  <si>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</si>
  <si>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</si>
  <si>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</si>
  <si>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</si>
  <si>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</si>
  <si>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</si>
  <si>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</si>
  <si>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</si>
  <si>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</si>
  <si>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</si>
  <si>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</si>
  <si>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</si>
  <si>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</si>
  <si>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</si>
  <si>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</si>
  <si>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</si>
  <si>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</si>
  <si>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</si>
  <si>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</si>
  <si>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</si>
  <si>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</si>
  <si>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</si>
  <si>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</si>
  <si>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</si>
  <si>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</si>
  <si>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</si>
  <si>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</si>
  <si>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</si>
  <si>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</si>
  <si>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</si>
  <si>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</si>
  <si>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</si>
  <si>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</si>
  <si>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</si>
  <si>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</si>
  <si>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</si>
  <si>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</si>
  <si>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</si>
  <si>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</si>
  <si>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</si>
  <si>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</si>
  <si>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</si>
  <si>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</si>
  <si>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</si>
  <si>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</si>
  <si>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</si>
  <si>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</si>
  <si>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</si>
  <si>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</si>
  <si>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</si>
  <si>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</si>
  <si>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</si>
  <si>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</si>
  <si>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</si>
  <si>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</si>
  <si>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</si>
  <si>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</si>
  <si>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</si>
  <si>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</si>
  <si>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</si>
  <si>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</si>
  <si>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</si>
  <si>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</si>
  <si>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</si>
  <si>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</si>
  <si>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</si>
  <si>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</si>
  <si>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</si>
  <si>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</si>
  <si>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</si>
  <si>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</si>
  <si>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</si>
  <si>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</si>
  <si>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</si>
  <si>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</si>
  <si>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</si>
  <si>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</si>
  <si>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</si>
  <si>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</si>
  <si>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</si>
  <si>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</si>
  <si>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</si>
  <si>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</si>
  <si>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</si>
  <si>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</si>
  <si>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</si>
  <si>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</si>
  <si>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</si>
  <si>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</si>
  <si>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</si>
  <si>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</si>
  <si>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</si>
  <si>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</si>
  <si>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</si>
  <si>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</si>
  <si>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</si>
  <si>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</si>
  <si>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</si>
  <si>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</si>
  <si>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</si>
  <si>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</si>
  <si>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</si>
  <si>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</si>
  <si>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</si>
  <si>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</si>
  <si>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</si>
  <si>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</si>
  <si>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</si>
  <si>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</si>
  <si>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</si>
  <si>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</si>
  <si>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</si>
  <si>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</si>
  <si>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</si>
  <si>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</si>
  <si>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</si>
  <si>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</si>
  <si>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</si>
  <si>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</si>
  <si>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</si>
  <si>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</si>
  <si>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</si>
  <si>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</si>
  <si>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</si>
  <si>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</si>
  <si>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</si>
  <si>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</si>
  <si>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</si>
  <si>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</si>
  <si>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</si>
  <si>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</si>
  <si>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</si>
  <si>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</si>
  <si>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</si>
  <si>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</si>
  <si>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</si>
  <si>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</si>
  <si>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</si>
  <si>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</si>
  <si>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</si>
  <si>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</si>
  <si>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</si>
  <si>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</si>
  <si>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</si>
  <si>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</si>
  <si>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</si>
  <si>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</si>
  <si>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</si>
  <si>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</si>
  <si>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</si>
  <si>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</si>
  <si>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</si>
  <si>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</si>
  <si>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</si>
  <si>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</si>
  <si>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</si>
  <si>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</si>
  <si>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</si>
  <si>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</si>
  <si>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</si>
  <si>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</si>
  <si>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</si>
  <si>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</si>
  <si>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</si>
  <si>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</si>
  <si>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</si>
  <si>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</si>
  <si>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</si>
  <si>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</si>
  <si>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</si>
  <si>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</si>
  <si>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</si>
  <si>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</si>
  <si>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</si>
  <si>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</si>
  <si>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</si>
  <si>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</si>
  <si>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</si>
  <si>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</si>
  <si>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</si>
  <si>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</si>
  <si>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</si>
  <si>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</si>
  <si>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</si>
  <si>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</si>
  <si>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</si>
  <si>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</si>
  <si>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</si>
  <si>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</si>
  <si>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</si>
  <si>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</si>
  <si>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</si>
  <si>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</si>
  <si>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</si>
  <si>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</si>
  <si>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</si>
  <si>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</si>
  <si>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</si>
  <si>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</si>
  <si>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</si>
  <si>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</si>
  <si>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</si>
  <si>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</si>
  <si>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</si>
  <si>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</si>
  <si>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</si>
  <si>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</si>
  <si>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</si>
  <si>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</si>
  <si>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</si>
  <si>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</si>
  <si>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</si>
  <si>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</si>
  <si>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</si>
  <si>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</si>
  <si>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</si>
  <si>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</si>
  <si>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</si>
  <si>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</si>
  <si>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</si>
  <si>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</si>
  <si>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</si>
  <si>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</si>
  <si>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</si>
  <si>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</si>
  <si>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</si>
  <si>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</si>
  <si>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</si>
  <si>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</si>
  <si>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</si>
  <si>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</si>
  <si>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</si>
  <si>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</si>
  <si>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</si>
  <si>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</si>
  <si>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</si>
  <si>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</si>
  <si>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</si>
  <si>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</si>
  <si>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</si>
  <si>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</si>
  <si>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</si>
  <si>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</si>
  <si>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</si>
  <si>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</si>
  <si>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</si>
  <si>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</si>
  <si>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</si>
  <si>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</si>
  <si>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</si>
  <si>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</si>
  <si>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</si>
  <si>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</si>
  <si>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</si>
  <si>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</si>
  <si>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</si>
  <si>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</si>
  <si>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</si>
  <si>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</si>
  <si>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</si>
  <si>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</si>
  <si>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</si>
  <si>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</si>
  <si>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</si>
  <si>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</si>
  <si>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</si>
  <si>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</si>
  <si>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</si>
  <si>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</si>
  <si>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</si>
  <si>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</si>
  <si>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</si>
  <si>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</si>
  <si>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</si>
  <si>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</si>
  <si>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</si>
  <si>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</si>
  <si>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</si>
  <si>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</si>
  <si>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</si>
  <si>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</si>
  <si>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</si>
  <si>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</si>
  <si>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</si>
  <si>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</si>
  <si>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</si>
  <si>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</si>
  <si>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</si>
  <si>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</si>
  <si>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</si>
  <si>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</si>
  <si>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</si>
  <si>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</si>
  <si>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</si>
  <si>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</si>
  <si>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</si>
  <si>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</si>
  <si>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</si>
  <si>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</si>
  <si>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</si>
  <si>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</si>
  <si>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</si>
  <si>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</si>
  <si>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</si>
  <si>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</si>
  <si>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</si>
  <si>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</si>
  <si>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</si>
  <si>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</si>
  <si>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</si>
  <si>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</si>
  <si>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</si>
  <si>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</si>
  <si>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</si>
  <si>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</si>
  <si>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</si>
  <si>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</si>
  <si>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</si>
  <si>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</si>
  <si>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</si>
  <si>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</si>
  <si>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</si>
  <si>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</si>
  <si>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</si>
  <si>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</si>
  <si>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</si>
  <si>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</si>
  <si>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</si>
  <si>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</si>
  <si>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</si>
  <si>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</si>
  <si>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</si>
  <si>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</si>
  <si>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</si>
  <si>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</si>
  <si>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</si>
  <si>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</si>
  <si>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</si>
  <si>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</si>
  <si>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</si>
  <si>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</si>
  <si>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</si>
  <si>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</si>
  <si>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</si>
  <si>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</si>
  <si>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</si>
  <si>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</si>
  <si>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</si>
  <si>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</si>
  <si>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</si>
  <si>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</si>
  <si>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</si>
  <si>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</si>
  <si>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</si>
  <si>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</si>
  <si>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</si>
  <si>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</si>
  <si>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</si>
  <si>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</si>
  <si>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</si>
  <si>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</si>
  <si>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</si>
  <si>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</si>
  <si>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</si>
  <si>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</si>
  <si>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</si>
  <si>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</si>
  <si>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</si>
  <si>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</si>
  <si>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</si>
  <si>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</si>
  <si>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</si>
  <si>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</si>
  <si>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</si>
  <si>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</si>
  <si>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</si>
  <si>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</si>
  <si>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</si>
  <si>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</si>
  <si>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</si>
  <si>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</si>
  <si>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</si>
  <si>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</si>
  <si>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</si>
  <si>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</si>
  <si>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</si>
  <si>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</si>
  <si>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</si>
  <si>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</si>
  <si>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</si>
  <si>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</si>
  <si>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</si>
  <si>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</si>
  <si>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</si>
  <si>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</si>
  <si>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</si>
  <si>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</si>
  <si>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</si>
  <si>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</si>
  <si>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</si>
  <si>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</si>
  <si>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</si>
  <si>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</si>
  <si>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</si>
  <si>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</si>
  <si>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</si>
  <si>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</si>
  <si>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</si>
  <si>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</si>
  <si>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</si>
  <si>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</si>
  <si>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</si>
  <si>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</si>
  <si>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</si>
  <si>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</si>
  <si>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</si>
  <si>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</si>
  <si>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</si>
  <si>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</si>
  <si>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</si>
  <si>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</si>
  <si>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</si>
  <si>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</si>
  <si>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</si>
  <si>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</si>
  <si>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</si>
  <si>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</si>
  <si>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</si>
  <si>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</si>
  <si>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</si>
  <si>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</si>
  <si>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</si>
  <si>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</si>
  <si>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</si>
  <si>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</si>
  <si>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</si>
  <si>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</si>
  <si>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</si>
  <si>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</si>
  <si>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</si>
  <si>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</si>
  <si>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</si>
  <si>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</si>
  <si>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</si>
  <si>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</si>
  <si>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</si>
  <si>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</si>
  <si>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</si>
  <si>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</si>
  <si>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</si>
  <si>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</si>
  <si>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</si>
  <si>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</si>
  <si>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</si>
  <si>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</si>
  <si>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</si>
  <si>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</si>
  <si>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</si>
  <si>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</si>
  <si>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</si>
  <si>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</si>
  <si>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</si>
  <si>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</si>
  <si>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</si>
  <si>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</si>
  <si>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</si>
  <si>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</si>
  <si>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</si>
  <si>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</si>
  <si>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</si>
  <si>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</si>
  <si>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</si>
  <si>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</si>
  <si>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</si>
  <si>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</si>
  <si>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</si>
  <si>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</si>
  <si>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</si>
  <si>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</si>
  <si>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</si>
  <si>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</si>
  <si>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</si>
  <si>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</si>
  <si>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</si>
  <si>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</si>
  <si>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</si>
  <si>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</si>
  <si>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</si>
  <si>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</si>
  <si>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</si>
  <si>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</si>
  <si>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</si>
  <si>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</si>
  <si>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</si>
  <si>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</si>
  <si>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</si>
  <si>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</si>
  <si>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</si>
  <si>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</si>
  <si>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</si>
  <si>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</si>
  <si>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</si>
  <si>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</si>
  <si>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</si>
  <si>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</si>
  <si>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</si>
  <si>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</si>
  <si>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</si>
  <si>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</si>
  <si>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</si>
  <si>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</si>
  <si>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</si>
  <si>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</si>
  <si>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</si>
  <si>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</si>
  <si>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</si>
  <si>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</si>
  <si>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</si>
  <si>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</si>
  <si>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</si>
  <si>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</si>
  <si>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</si>
  <si>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</si>
  <si>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</si>
  <si>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</si>
  <si>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</si>
  <si>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</si>
  <si>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</si>
  <si>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</si>
  <si>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</si>
  <si>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</si>
  <si>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</si>
  <si>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</si>
  <si>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</si>
  <si>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</si>
  <si>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</si>
  <si>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</si>
  <si>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</si>
  <si>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</si>
  <si>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</si>
  <si>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</si>
  <si>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</si>
  <si>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</si>
  <si>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</si>
  <si>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</si>
  <si>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</si>
  <si>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</si>
  <si>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</si>
  <si>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</si>
  <si>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</si>
  <si>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</si>
  <si>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</si>
  <si>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</si>
  <si>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</si>
  <si>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</si>
  <si>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</si>
  <si>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</si>
  <si>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</si>
  <si>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</si>
  <si>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</si>
  <si>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</si>
  <si>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</si>
  <si>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</si>
  <si>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</si>
  <si>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</si>
  <si>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</si>
  <si>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</si>
  <si>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</si>
  <si>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</si>
  <si>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</si>
  <si>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</si>
  <si>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</si>
  <si>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</si>
  <si>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</si>
  <si>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</si>
  <si>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</si>
  <si>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</si>
  <si>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</si>
  <si>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</si>
  <si>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</si>
  <si>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</si>
  <si>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</si>
  <si>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</si>
  <si>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</si>
  <si>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</si>
  <si>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</si>
  <si>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</si>
  <si>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</si>
  <si>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</si>
  <si>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</si>
  <si>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</si>
  <si>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</si>
  <si>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</si>
  <si>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</si>
  <si>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</si>
  <si>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</si>
  <si>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</si>
  <si>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</si>
  <si>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</si>
  <si>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</si>
  <si>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</si>
  <si>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</si>
  <si>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</si>
  <si>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</si>
  <si>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</si>
  <si>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</si>
  <si>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</si>
  <si>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</si>
  <si>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</si>
  <si>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</si>
  <si>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</si>
  <si>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</si>
  <si>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</si>
  <si>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</si>
  <si>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</si>
  <si>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</si>
  <si>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</si>
  <si>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</si>
  <si>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</si>
  <si>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</si>
  <si>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</si>
  <si>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</si>
  <si>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</si>
  <si>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</si>
  <si>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</si>
  <si>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</si>
  <si>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</si>
  <si>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</si>
  <si>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</si>
  <si>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</si>
  <si>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</si>
  <si>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</si>
  <si>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</si>
  <si>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</si>
  <si>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</si>
  <si>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</si>
  <si>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</si>
  <si>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</si>
  <si>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</si>
  <si>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</si>
  <si>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</si>
  <si>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</si>
  <si>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</si>
  <si>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</si>
  <si>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</si>
  <si>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</si>
  <si>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</si>
  <si>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</si>
  <si>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</si>
  <si>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</si>
  <si>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</si>
  <si>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</si>
  <si>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</si>
  <si>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</si>
  <si>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</si>
  <si>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</si>
  <si>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</si>
  <si>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</si>
  <si>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</si>
  <si>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</si>
  <si>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</si>
  <si>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</si>
  <si>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</si>
  <si>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</si>
  <si>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</si>
  <si>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</si>
  <si>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</si>
  <si>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</si>
  <si>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</si>
  <si>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</si>
  <si>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</si>
  <si>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</si>
  <si>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</si>
  <si>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</si>
  <si>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</si>
  <si>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</si>
  <si>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</si>
  <si>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</si>
  <si>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</si>
  <si>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</si>
  <si>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</si>
  <si>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</si>
  <si>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</si>
  <si>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</si>
  <si>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</si>
  <si>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</si>
  <si>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</si>
  <si>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</si>
  <si>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</si>
  <si>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</si>
  <si>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</si>
  <si>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</si>
  <si>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</si>
  <si>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</si>
  <si>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</si>
  <si>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</si>
  <si>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</si>
  <si>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</si>
  <si>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</si>
  <si>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</si>
  <si>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</si>
  <si>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</si>
  <si>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</si>
  <si>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</si>
  <si>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</si>
  <si>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</si>
  <si>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</si>
  <si>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</si>
  <si>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</si>
  <si>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</si>
  <si>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</si>
  <si>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</si>
  <si>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</si>
  <si>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</si>
  <si>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</si>
  <si>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</si>
  <si>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</si>
  <si>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</si>
  <si>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</si>
  <si>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</si>
  <si>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</si>
  <si>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</si>
  <si>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</si>
  <si>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</si>
  <si>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</si>
  <si>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</si>
  <si>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</si>
  <si>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</si>
  <si>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</si>
  <si>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</si>
  <si>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</si>
  <si>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</si>
  <si>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</si>
  <si>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</si>
  <si>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</si>
  <si>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</si>
  <si>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</si>
  <si>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</si>
  <si>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</si>
  <si>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</si>
  <si>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</si>
  <si>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</si>
  <si>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</si>
  <si>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</si>
  <si>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</si>
  <si>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</si>
  <si>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</si>
  <si>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</si>
  <si>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</si>
  <si>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</si>
  <si>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</si>
  <si>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</si>
  <si>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</si>
  <si>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</si>
  <si>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</si>
  <si>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</si>
  <si>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</si>
  <si>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</si>
  <si>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</si>
  <si>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</si>
  <si>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</si>
  <si>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</si>
  <si>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</si>
  <si>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</si>
  <si>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</si>
  <si>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</si>
  <si>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</si>
  <si>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</si>
  <si>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</si>
  <si>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</si>
  <si>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</si>
  <si>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</si>
  <si>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</si>
  <si>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</si>
  <si>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</si>
  <si>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</si>
  <si>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</si>
  <si>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</si>
  <si>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</si>
  <si>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</si>
  <si>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</si>
  <si>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</si>
  <si>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</si>
  <si>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</si>
  <si>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</si>
  <si>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</si>
  <si>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</si>
  <si>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</si>
  <si>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</si>
  <si>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</si>
  <si>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</si>
  <si>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</si>
  <si>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</si>
  <si>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</si>
  <si>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</si>
  <si>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</si>
  <si>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</si>
  <si>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</si>
  <si>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</si>
  <si>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</si>
  <si>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</si>
  <si>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</si>
  <si>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</si>
  <si>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</si>
  <si>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</si>
  <si>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</si>
  <si>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</si>
  <si>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</si>
  <si>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</si>
  <si>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</si>
  <si>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</si>
  <si>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</si>
  <si>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</si>
  <si>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</si>
  <si>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</si>
  <si>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</si>
  <si>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</si>
  <si>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</si>
  <si>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</si>
  <si>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</si>
  <si>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</si>
  <si>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</si>
  <si>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</si>
  <si>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</si>
  <si>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</si>
  <si>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</si>
  <si>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</si>
  <si>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</si>
  <si>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</si>
  <si>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</si>
  <si>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</si>
  <si>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</si>
  <si>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</si>
  <si>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</si>
  <si>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</si>
  <si>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</si>
  <si>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</si>
  <si>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</si>
  <si>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</si>
  <si>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</si>
  <si>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</si>
  <si>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</si>
  <si>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</si>
  <si>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</si>
  <si>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</si>
  <si>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</si>
  <si>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</si>
  <si>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</si>
  <si>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</si>
  <si>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</si>
  <si>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</si>
  <si>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</si>
  <si>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</si>
  <si>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</si>
  <si>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</si>
  <si>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</si>
  <si>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</si>
  <si>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</si>
  <si>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</si>
  <si>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</si>
  <si>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</si>
  <si>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</si>
  <si>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</si>
  <si>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</si>
  <si>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</si>
  <si>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</si>
  <si>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</si>
  <si>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</si>
  <si>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</si>
  <si>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</si>
  <si>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</si>
  <si>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</si>
  <si>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</si>
  <si>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</si>
  <si>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</si>
  <si>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</si>
  <si>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</si>
  <si>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</si>
  <si>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</si>
  <si>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</si>
  <si>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</si>
  <si>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</si>
  <si>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</si>
  <si>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</si>
  <si>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</si>
  <si>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</si>
  <si>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</si>
  <si>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</si>
  <si>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</si>
  <si>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</si>
  <si>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</si>
  <si>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</si>
  <si>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</si>
  <si>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</si>
  <si>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</si>
  <si>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</si>
  <si>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</si>
  <si>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</si>
  <si>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</si>
  <si>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</si>
  <si>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</si>
  <si>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</si>
  <si>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</si>
  <si>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</si>
  <si>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</si>
  <si>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</si>
  <si>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</si>
  <si>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</si>
  <si>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</si>
  <si>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</si>
  <si>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</si>
  <si>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</si>
  <si>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</si>
  <si>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</si>
  <si>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</si>
  <si>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</si>
  <si>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</si>
  <si>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</si>
  <si>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</si>
  <si>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</si>
  <si>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</si>
  <si>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</si>
  <si>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</si>
  <si>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</si>
  <si>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</si>
  <si>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</si>
  <si>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</si>
  <si>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</si>
  <si>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</si>
  <si>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</si>
  <si>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</si>
  <si>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</si>
  <si>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</si>
  <si>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</si>
  <si>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</si>
  <si>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</si>
  <si>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</si>
  <si>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</si>
  <si>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</si>
  <si>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</si>
  <si>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</si>
  <si>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</si>
  <si>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</si>
  <si>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</si>
  <si>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</si>
  <si>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</si>
  <si>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</si>
  <si>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</si>
  <si>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</si>
  <si>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</si>
  <si>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</si>
  <si>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</si>
  <si>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</si>
  <si>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</si>
  <si>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</si>
  <si>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</si>
  <si>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</si>
  <si>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</si>
  <si>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</si>
  <si>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</si>
  <si>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</si>
  <si>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</si>
  <si>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</si>
  <si>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</si>
  <si>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</si>
  <si>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</si>
  <si>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</si>
  <si>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</si>
  <si>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</si>
  <si>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</si>
  <si>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</si>
  <si>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</si>
  <si>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</si>
  <si>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</si>
  <si>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</si>
  <si>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</si>
  <si>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</si>
  <si>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</si>
  <si>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</si>
  <si>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</si>
  <si>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</si>
  <si>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</si>
  <si>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</si>
  <si>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</si>
  <si>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</si>
  <si>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</si>
  <si>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</si>
  <si>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</si>
  <si>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</si>
  <si>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</si>
  <si>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</si>
  <si>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</si>
  <si>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</si>
  <si>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</si>
  <si>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</si>
  <si>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</si>
  <si>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</si>
  <si>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</si>
  <si>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</si>
  <si>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</si>
  <si>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</si>
  <si>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</si>
  <si>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</si>
  <si>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</si>
  <si>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</si>
  <si>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</si>
  <si>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</si>
  <si>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</si>
  <si>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</si>
  <si>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</si>
  <si>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</si>
  <si>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</si>
  <si>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</si>
  <si>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</si>
  <si>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</si>
  <si>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</si>
  <si>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</si>
  <si>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</si>
  <si>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</si>
  <si>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</si>
  <si>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</si>
  <si>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</si>
  <si>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</si>
  <si>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</si>
  <si>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</si>
  <si>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</si>
  <si>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</si>
  <si>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</si>
  <si>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</si>
  <si>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</si>
  <si>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</si>
  <si>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</si>
  <si>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</si>
  <si>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</si>
  <si>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</si>
  <si>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</si>
  <si>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</si>
  <si>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</si>
  <si>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</si>
  <si>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</si>
  <si>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</si>
  <si>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</si>
  <si>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</si>
  <si>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</si>
  <si>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</si>
  <si>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</si>
  <si>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</si>
  <si>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</si>
  <si>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</si>
  <si>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</si>
  <si>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</si>
  <si>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</si>
  <si>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</si>
  <si>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</si>
  <si>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</si>
  <si>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</si>
  <si>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</si>
  <si>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</si>
  <si>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</si>
  <si>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</si>
  <si>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</si>
  <si>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</si>
  <si>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</si>
  <si>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</si>
  <si>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</si>
  <si>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</si>
  <si>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</si>
  <si>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</si>
  <si>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</si>
  <si>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</si>
  <si>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</si>
  <si>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</si>
  <si>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</si>
  <si>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</si>
  <si>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</si>
  <si>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</si>
  <si>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</si>
  <si>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</si>
  <si>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</si>
  <si>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</si>
  <si>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</si>
  <si>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</si>
  <si>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</si>
  <si>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</si>
  <si>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</si>
  <si>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</si>
  <si>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</si>
  <si>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</si>
  <si>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</si>
  <si>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</si>
  <si>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</si>
  <si>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</si>
  <si>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</si>
  <si>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</si>
  <si>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</si>
  <si>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</si>
  <si>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</si>
  <si>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</si>
  <si>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</si>
  <si>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</si>
  <si>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</si>
  <si>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</si>
  <si>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</si>
  <si>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</si>
  <si>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</si>
  <si>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</si>
  <si>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</si>
  <si>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</si>
  <si>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</si>
  <si>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</si>
  <si>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</si>
  <si>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</si>
  <si>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</si>
  <si>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</si>
  <si>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</si>
  <si>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</si>
  <si>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</si>
  <si>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</si>
  <si>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</si>
  <si>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</si>
  <si>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</si>
  <si>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</si>
  <si>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</si>
  <si>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</si>
  <si>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</si>
  <si>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</si>
  <si>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</si>
  <si>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</si>
  <si>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</si>
  <si>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</si>
  <si>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</si>
  <si>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</si>
  <si>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</si>
  <si>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</si>
  <si>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</si>
  <si>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</si>
  <si>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</si>
  <si>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</si>
  <si>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</si>
  <si>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</si>
  <si>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</si>
  <si>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</si>
  <si>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</si>
  <si>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</si>
  <si>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</si>
  <si>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</si>
  <si>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</si>
  <si>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</si>
  <si>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</si>
  <si>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</si>
  <si>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</si>
  <si>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</si>
  <si>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</si>
  <si>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</si>
  <si>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</si>
  <si>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</si>
  <si>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</si>
  <si>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</si>
  <si>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</si>
  <si>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</si>
  <si>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</si>
  <si>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</si>
  <si>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</si>
  <si>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</si>
  <si>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</si>
  <si>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</si>
  <si>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</si>
  <si>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</si>
  <si>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</si>
  <si>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</si>
  <si>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</si>
  <si>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</si>
  <si>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</si>
  <si>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</si>
  <si>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</si>
  <si>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</si>
  <si>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</si>
  <si>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</si>
  <si>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</si>
  <si>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</si>
  <si>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</si>
  <si>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</si>
  <si>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</si>
  <si>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</si>
  <si>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</si>
  <si>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</si>
  <si>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</si>
  <si>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</si>
  <si>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</si>
  <si>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</si>
  <si>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</si>
  <si>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</si>
  <si>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</si>
  <si>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</si>
  <si>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</si>
  <si>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</si>
  <si>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</si>
  <si>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</si>
  <si>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</si>
  <si>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</si>
  <si>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</si>
  <si>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</si>
  <si>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</si>
  <si>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</si>
  <si>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</si>
  <si>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</si>
  <si>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</si>
  <si>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</si>
  <si>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</si>
  <si>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</si>
  <si>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</si>
  <si>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</si>
  <si>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</si>
  <si>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</si>
  <si>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</si>
  <si>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</si>
  <si>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</si>
  <si>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</si>
  <si>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</si>
  <si>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</si>
  <si>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</si>
  <si>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</si>
  <si>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</si>
  <si>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</si>
  <si>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</si>
  <si>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</si>
  <si>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</si>
  <si>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</si>
  <si>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</si>
  <si>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</si>
  <si>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</si>
  <si>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</si>
  <si>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</si>
  <si>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</si>
  <si>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</si>
  <si>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</si>
  <si>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</si>
  <si>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</si>
  <si>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</si>
  <si>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</si>
  <si>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</si>
  <si>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</si>
  <si>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</si>
  <si>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</si>
  <si>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</si>
  <si>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</si>
  <si>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</si>
  <si>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</si>
  <si>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</si>
  <si>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</si>
  <si>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</si>
  <si>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</si>
  <si>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</si>
  <si>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</si>
  <si>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</si>
  <si>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</si>
  <si>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</si>
  <si>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</si>
  <si>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</si>
  <si>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</si>
  <si>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</si>
  <si>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</si>
  <si>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</si>
  <si>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</si>
  <si>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</si>
  <si>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</si>
  <si>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</si>
  <si>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</si>
  <si>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</si>
  <si>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</si>
  <si>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</si>
  <si>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</si>
  <si>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</si>
  <si>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</si>
  <si>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</si>
  <si>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</si>
  <si>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</si>
  <si>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</si>
  <si>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</si>
  <si>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</si>
  <si>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</si>
  <si>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</si>
  <si>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</si>
  <si>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</si>
  <si>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</si>
  <si>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</si>
  <si>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</si>
  <si>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</si>
  <si>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</si>
  <si>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</si>
  <si>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</si>
  <si>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</si>
  <si>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</si>
  <si>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</si>
  <si>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</si>
  <si>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</si>
  <si>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</si>
  <si>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</si>
  <si>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</si>
  <si>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</si>
  <si>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</si>
  <si>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</si>
  <si>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</si>
  <si>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</si>
  <si>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</si>
  <si>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</si>
  <si>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</si>
  <si>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</si>
  <si>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</si>
  <si>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</si>
  <si>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</si>
  <si>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</si>
  <si>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</si>
  <si>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</si>
  <si>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</si>
  <si>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</si>
  <si>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</si>
  <si>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</si>
  <si>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</si>
  <si>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</si>
  <si>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</si>
  <si>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</si>
  <si>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</si>
  <si>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</si>
  <si>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</si>
  <si>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</si>
  <si>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</si>
  <si>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</si>
  <si>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</si>
  <si>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</si>
  <si>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</si>
  <si>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</si>
  <si>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</si>
  <si>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</si>
  <si>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</si>
  <si>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</si>
  <si>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</si>
  <si>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</si>
  <si>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</si>
  <si>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</si>
  <si>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</si>
  <si>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</si>
  <si>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</si>
  <si>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</si>
  <si>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</si>
  <si>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</si>
  <si>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</si>
  <si>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</si>
  <si>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</si>
  <si>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</si>
  <si>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</si>
  <si>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</si>
  <si>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</si>
  <si>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</si>
  <si>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</si>
  <si>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</si>
  <si>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</si>
  <si>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</si>
  <si>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</si>
  <si>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</si>
  <si>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</si>
  <si>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</si>
  <si>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</si>
  <si>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</si>
  <si>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</si>
  <si>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</si>
  <si>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</si>
  <si>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</si>
  <si>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</si>
  <si>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</si>
  <si>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</si>
  <si>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</si>
  <si>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</si>
  <si>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</si>
  <si>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</si>
  <si>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</si>
  <si>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</si>
  <si>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</si>
  <si>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</si>
  <si>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</si>
  <si>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</si>
  <si>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</si>
  <si>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</si>
  <si>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</si>
  <si>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</si>
  <si>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</si>
  <si>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</si>
  <si>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</si>
  <si>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</si>
  <si>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</si>
  <si>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</si>
  <si>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</si>
  <si>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</si>
  <si>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</si>
  <si>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</si>
  <si>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</si>
  <si>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</si>
  <si>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</si>
  <si>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</si>
  <si>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</si>
  <si>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</si>
  <si>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</si>
  <si>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</si>
  <si>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</si>
  <si>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</si>
  <si>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</si>
  <si>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</si>
  <si>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</si>
  <si>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</si>
  <si>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</si>
  <si>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</si>
  <si>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</si>
  <si>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</si>
  <si>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</si>
  <si>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</si>
  <si>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</si>
  <si>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</si>
  <si>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</si>
  <si>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</si>
  <si>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</si>
  <si>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</si>
  <si>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</si>
  <si>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</si>
  <si>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</si>
  <si>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</si>
  <si>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</si>
  <si>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</si>
  <si>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</si>
  <si>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</si>
  <si>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</si>
  <si>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</si>
  <si>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</si>
  <si>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</si>
  <si>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</si>
  <si>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</si>
  <si>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</si>
  <si>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</si>
  <si>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</si>
  <si>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</si>
  <si>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</si>
  <si>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</si>
  <si>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</si>
  <si>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</si>
  <si>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</si>
  <si>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</si>
  <si>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</si>
  <si>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</si>
  <si>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</si>
  <si>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</si>
  <si>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</si>
  <si>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</si>
  <si>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</si>
  <si>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</si>
  <si>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</si>
  <si>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</si>
  <si>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</si>
  <si>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</si>
  <si>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</si>
  <si>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</si>
  <si>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</si>
  <si>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</si>
  <si>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</si>
  <si>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</si>
  <si>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</si>
  <si>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</si>
  <si>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</si>
  <si>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</si>
  <si>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</si>
  <si>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</si>
  <si>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</si>
  <si>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</si>
  <si>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</si>
  <si>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</si>
  <si>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</si>
  <si>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</si>
  <si>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</si>
  <si>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</si>
  <si>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</si>
  <si>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</si>
  <si>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</si>
  <si>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</si>
  <si>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</si>
  <si>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</si>
  <si>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</si>
  <si>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</si>
  <si>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</si>
  <si>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</si>
  <si>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</si>
  <si>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</si>
  <si>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</si>
  <si>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</si>
  <si>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</si>
  <si>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</si>
  <si>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</si>
  <si>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</si>
  <si>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</si>
  <si>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</si>
  <si>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</si>
  <si>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</si>
  <si>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</si>
  <si>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</si>
  <si>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</si>
  <si>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</si>
  <si>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</si>
  <si>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</si>
  <si>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</si>
  <si>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</si>
  <si>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</si>
  <si>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</si>
  <si>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</si>
  <si>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</si>
  <si>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</si>
  <si>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</si>
  <si>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</si>
  <si>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</si>
  <si>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</si>
  <si>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</si>
  <si>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</si>
  <si>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</si>
  <si>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</si>
  <si>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</si>
  <si>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</si>
  <si>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</si>
  <si>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</si>
  <si>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</si>
  <si>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</si>
  <si>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</si>
  <si>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</si>
  <si>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</si>
  <si>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</si>
  <si>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</si>
  <si>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</si>
  <si>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</si>
  <si>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</si>
  <si>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</si>
  <si>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</si>
  <si>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</si>
  <si>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</si>
  <si>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</si>
  <si>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</si>
  <si>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</si>
  <si>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</si>
  <si>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</si>
  <si>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</si>
  <si>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</si>
  <si>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</si>
  <si>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</si>
  <si>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</si>
  <si>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</si>
  <si>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</si>
  <si>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</si>
  <si>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</si>
  <si>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</si>
  <si>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</si>
  <si>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</si>
  <si>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</si>
  <si>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</si>
  <si>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</si>
  <si>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</si>
  <si>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</si>
  <si>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</si>
  <si>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</si>
  <si>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</si>
  <si>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</si>
  <si>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</si>
  <si>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</si>
  <si>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</si>
  <si>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</si>
  <si>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</si>
  <si>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</si>
  <si>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</si>
  <si>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</si>
  <si>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</si>
  <si>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</si>
  <si>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</si>
  <si>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</si>
  <si>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</si>
  <si>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</si>
  <si>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</si>
  <si>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</si>
  <si>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</si>
  <si>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</si>
  <si>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</si>
  <si>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</si>
  <si>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</si>
  <si>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</si>
  <si>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</si>
  <si>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</si>
  <si>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</si>
  <si>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</si>
  <si>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</si>
  <si>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</si>
  <si>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</si>
  <si>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</si>
  <si>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</si>
  <si>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</si>
  <si>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</si>
  <si>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</si>
  <si>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</si>
  <si>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</si>
  <si>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</si>
  <si>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</si>
  <si>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</si>
  <si>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</si>
  <si>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</si>
  <si>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</si>
  <si>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</si>
  <si>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</si>
  <si>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</si>
  <si>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</si>
  <si>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</si>
  <si>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</si>
  <si>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</si>
  <si>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</si>
  <si>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</si>
  <si>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</si>
  <si>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</si>
  <si>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</si>
  <si>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</si>
  <si>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</si>
  <si>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</si>
  <si>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</si>
  <si>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</si>
  <si>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</si>
  <si>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</si>
  <si>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</si>
  <si>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</si>
  <si>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</si>
  <si>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</si>
  <si>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</si>
  <si>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</si>
  <si>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</si>
  <si>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</si>
  <si>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</si>
  <si>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</si>
  <si>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</si>
  <si>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</si>
  <si>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</si>
  <si>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</si>
  <si>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</si>
  <si>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</si>
  <si>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</si>
  <si>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</si>
  <si>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</si>
  <si>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</si>
  <si>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</si>
  <si>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</si>
  <si>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</si>
  <si>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</si>
  <si>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</si>
  <si>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</si>
  <si>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</si>
  <si>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</si>
  <si>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</si>
  <si>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</si>
  <si>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</si>
  <si>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</si>
  <si>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</si>
  <si>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</si>
  <si>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</si>
  <si>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</si>
  <si>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</si>
  <si>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</si>
  <si>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</si>
  <si>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</si>
  <si>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</si>
  <si>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</si>
  <si>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</si>
  <si>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</si>
  <si>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</si>
  <si>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</si>
  <si>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</si>
  <si>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</si>
  <si>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</si>
  <si>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</si>
  <si>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</si>
  <si>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</si>
  <si>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</si>
  <si>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</si>
  <si>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</si>
  <si>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</si>
  <si>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</si>
  <si>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</si>
  <si>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</si>
  <si>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</si>
  <si>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</si>
  <si>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</si>
  <si>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</si>
  <si>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</si>
  <si>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</si>
  <si>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</si>
  <si>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</si>
  <si>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</si>
  <si>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</si>
  <si>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</si>
  <si>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</si>
  <si>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</si>
  <si>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</si>
  <si>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</si>
  <si>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</si>
  <si>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</si>
  <si>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</si>
  <si>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</si>
  <si>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</si>
  <si>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</si>
  <si>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</si>
  <si>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</si>
  <si>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</si>
  <si>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</si>
  <si>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</si>
  <si>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</si>
  <si>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</si>
  <si>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</si>
  <si>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</si>
  <si>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</si>
  <si>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</si>
  <si>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</si>
  <si>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</si>
  <si>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</si>
  <si>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</si>
  <si>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</si>
  <si>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</si>
  <si>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</si>
  <si>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</si>
  <si>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</si>
  <si>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</si>
  <si>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</si>
  <si>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</si>
  <si>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</si>
  <si>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</si>
  <si>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</si>
  <si>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</si>
  <si>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</si>
  <si>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</si>
  <si>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</si>
  <si>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</si>
  <si>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</si>
  <si>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</si>
  <si>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</si>
  <si>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</si>
  <si>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</si>
  <si>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</si>
  <si>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</si>
  <si>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</si>
  <si>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</si>
  <si>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</si>
  <si>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</si>
  <si>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</si>
  <si>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</si>
  <si>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</si>
  <si>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</si>
  <si>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</si>
  <si>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</si>
  <si>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</si>
  <si>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</si>
  <si>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</si>
  <si>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</si>
  <si>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</si>
  <si>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</si>
  <si>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</si>
  <si>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</si>
  <si>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</si>
  <si>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</si>
  <si>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</si>
  <si>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</si>
  <si>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</si>
  <si>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</si>
  <si>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</si>
  <si>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</si>
  <si>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</si>
  <si>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</si>
  <si>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</si>
  <si>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</si>
  <si>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</si>
  <si>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</si>
  <si>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</si>
  <si>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</si>
  <si>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</si>
  <si>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</si>
  <si>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</si>
  <si>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</si>
  <si>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</si>
  <si>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</si>
  <si>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</si>
  <si>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</si>
  <si>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</si>
  <si>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</si>
  <si>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</si>
  <si>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</si>
  <si>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</si>
  <si>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</si>
  <si>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</si>
  <si>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</si>
  <si>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</si>
  <si>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</si>
  <si>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</si>
  <si>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</si>
  <si>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</si>
  <si>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</si>
  <si>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</si>
  <si>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</si>
  <si>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</si>
  <si>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</si>
  <si>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</si>
  <si>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</si>
  <si>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</si>
  <si>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</si>
  <si>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</si>
  <si>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</si>
  <si>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</si>
  <si>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</si>
  <si>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</si>
  <si>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</si>
  <si>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</si>
  <si>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</si>
  <si>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</si>
  <si>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</si>
  <si>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</si>
  <si>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</si>
  <si>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</si>
  <si>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</si>
  <si>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</si>
  <si>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</si>
  <si>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</si>
  <si>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</si>
  <si>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</si>
  <si>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</si>
  <si>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</si>
  <si>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</si>
  <si>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</si>
  <si>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</si>
  <si>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</si>
  <si>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</si>
  <si>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</si>
  <si>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</si>
  <si>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</si>
  <si>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</si>
  <si>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</si>
  <si>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</si>
  <si>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</si>
  <si>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</si>
  <si>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</si>
  <si>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</si>
  <si>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</si>
  <si>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</si>
  <si>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</si>
  <si>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</si>
  <si>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</si>
  <si>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</si>
  <si>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</si>
  <si>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</si>
  <si>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</si>
  <si>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</si>
  <si>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</si>
  <si>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</si>
  <si>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</si>
  <si>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</si>
  <si>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</si>
  <si>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</si>
  <si>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</si>
  <si>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</si>
  <si>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</si>
  <si>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</si>
  <si>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</si>
  <si>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</si>
  <si>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</si>
  <si>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</si>
  <si>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</si>
  <si>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</si>
  <si>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</si>
  <si>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</si>
  <si>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</si>
  <si>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</si>
  <si>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</si>
  <si>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</si>
  <si>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</si>
  <si>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</si>
  <si>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</si>
  <si>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</si>
  <si>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</si>
  <si>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</si>
  <si>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</si>
  <si>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</si>
  <si>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</si>
  <si>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</si>
  <si>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</si>
  <si>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</si>
  <si>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</si>
  <si>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</si>
  <si>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</si>
  <si>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</si>
  <si>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</si>
  <si>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</si>
  <si>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</si>
  <si>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</si>
  <si>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</si>
  <si>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</si>
  <si>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</si>
  <si>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</si>
  <si>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</si>
  <si>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</si>
  <si>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</si>
  <si>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</si>
  <si>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</si>
  <si>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</si>
  <si>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</si>
  <si>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</si>
  <si>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</si>
  <si>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</si>
  <si>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</si>
  <si>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</si>
  <si>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</si>
  <si>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</si>
  <si>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</si>
  <si>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</si>
  <si>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</si>
  <si>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</si>
  <si>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</si>
  <si>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</si>
  <si>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</si>
  <si>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</si>
  <si>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</si>
  <si>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</si>
  <si>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</si>
  <si>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</si>
  <si>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</si>
  <si>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</si>
  <si>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</si>
  <si>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</si>
  <si>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</si>
  <si>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</si>
  <si>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</si>
  <si>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</si>
  <si>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</si>
  <si>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</si>
  <si>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</si>
  <si>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</si>
  <si>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</si>
  <si>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</si>
  <si>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</si>
  <si>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</si>
  <si>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</si>
  <si>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</si>
  <si>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</si>
  <si>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</si>
  <si>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</si>
  <si>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</si>
  <si>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</si>
  <si>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</si>
  <si>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</si>
  <si>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</si>
  <si>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</si>
  <si>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</si>
  <si>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</si>
  <si>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</si>
  <si>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</si>
  <si>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</si>
  <si>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</si>
  <si>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</si>
  <si>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</si>
  <si>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</si>
  <si>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</si>
  <si>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</si>
  <si>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</si>
  <si>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</si>
  <si>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</si>
  <si>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</si>
  <si>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</si>
  <si>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</si>
  <si>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</si>
  <si>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</si>
  <si>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</si>
  <si>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</si>
  <si>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</si>
  <si>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</si>
  <si>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</si>
  <si>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</si>
  <si>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</si>
  <si>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</si>
  <si>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</si>
  <si>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</si>
  <si>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</si>
  <si>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</si>
  <si>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</si>
  <si>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</si>
  <si>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</si>
  <si>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</si>
  <si>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</si>
  <si>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</si>
  <si>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</si>
  <si>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</si>
  <si>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</si>
  <si>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</si>
  <si>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</si>
  <si>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</si>
  <si>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</si>
  <si>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</si>
  <si>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</si>
  <si>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</si>
  <si>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</si>
  <si>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</si>
  <si>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</si>
  <si>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</si>
  <si>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</si>
  <si>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</si>
  <si>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</si>
  <si>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</si>
  <si>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</si>
  <si>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</si>
  <si>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</si>
  <si>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</si>
  <si>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</si>
  <si>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</si>
  <si>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</si>
  <si>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</si>
  <si>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</si>
  <si>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</si>
  <si>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</si>
  <si>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</si>
  <si>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</si>
  <si>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</si>
  <si>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</si>
  <si>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</si>
  <si>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</si>
  <si>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</si>
  <si>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</si>
  <si>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</si>
  <si>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</si>
  <si>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</si>
  <si>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</si>
  <si>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</si>
  <si>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</si>
  <si>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</si>
  <si>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</si>
  <si>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</si>
  <si>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</si>
  <si>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</si>
  <si>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</si>
  <si>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</si>
  <si>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</si>
  <si>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</si>
  <si>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</si>
  <si>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</si>
  <si>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</si>
  <si>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</si>
  <si>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</si>
  <si>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</si>
  <si>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</si>
  <si>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</si>
  <si>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</si>
  <si>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</si>
  <si>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</si>
  <si>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</si>
  <si>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</si>
  <si>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</si>
  <si>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</si>
  <si>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</si>
  <si>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</si>
  <si>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</si>
  <si>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</si>
  <si>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</si>
  <si>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</si>
  <si>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</si>
  <si>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</si>
  <si>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</si>
  <si>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</si>
  <si>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</si>
  <si>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</si>
  <si>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</si>
  <si>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</si>
  <si>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</si>
  <si>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</si>
  <si>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</si>
  <si>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</si>
  <si>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</si>
  <si>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</si>
  <si>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</si>
  <si>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</si>
  <si>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</si>
  <si>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</si>
  <si>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</si>
  <si>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</si>
  <si>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</si>
  <si>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</si>
  <si>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</si>
  <si>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</si>
  <si>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</si>
  <si>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</si>
  <si>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</si>
  <si>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</si>
  <si>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</si>
  <si>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</si>
  <si>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</si>
  <si>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</si>
  <si>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</si>
  <si>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</si>
  <si>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</si>
  <si>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</si>
  <si>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</si>
  <si>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</si>
  <si>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</si>
  <si>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</si>
  <si>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</si>
  <si>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</si>
  <si>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</si>
  <si>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</si>
  <si>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</si>
  <si>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</si>
  <si>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</si>
  <si>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</si>
  <si>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</si>
  <si>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</si>
  <si>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</si>
  <si>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</si>
  <si>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</si>
  <si>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</si>
  <si>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</si>
  <si>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</si>
  <si>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</si>
  <si>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</si>
  <si>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</si>
  <si>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</si>
  <si>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</si>
  <si>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</si>
  <si>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</si>
  <si>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</si>
  <si>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</si>
  <si>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</si>
  <si>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</si>
  <si>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</si>
  <si>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</si>
  <si>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</si>
  <si>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</si>
  <si>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</si>
  <si>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</si>
  <si>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</si>
  <si>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</si>
  <si>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</si>
  <si>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</si>
  <si>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</si>
  <si>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</si>
  <si>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</si>
  <si>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</si>
  <si>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</si>
  <si>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</si>
  <si>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</si>
  <si>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</si>
  <si>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</si>
  <si>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</si>
  <si>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</si>
  <si>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</si>
  <si>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</si>
  <si>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</si>
  <si>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</si>
  <si>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</si>
  <si>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</si>
  <si>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</si>
  <si>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</si>
  <si>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</si>
  <si>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</si>
  <si>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</si>
  <si>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</si>
  <si>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</si>
  <si>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</si>
  <si>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</si>
  <si>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</si>
  <si>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</si>
  <si>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</si>
  <si>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</si>
  <si>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</si>
  <si>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</si>
  <si>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</si>
  <si>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</si>
  <si>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</si>
  <si>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</si>
  <si>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</si>
  <si>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</si>
  <si>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</si>
  <si>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</si>
  <si>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</si>
  <si>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</si>
  <si>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</si>
  <si>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</si>
  <si>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</si>
  <si>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</si>
  <si>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</si>
  <si>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</si>
  <si>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</si>
  <si>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</si>
  <si>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</si>
  <si>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</si>
  <si>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</si>
  <si>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</si>
  <si>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</si>
  <si>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</si>
  <si>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</si>
  <si>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</si>
  <si>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</si>
  <si>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</si>
  <si>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</si>
  <si>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</si>
  <si>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</si>
  <si>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</si>
  <si>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</si>
  <si>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</si>
  <si>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</si>
  <si>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</si>
  <si>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</si>
  <si>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</si>
  <si>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</si>
  <si>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</si>
  <si>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</si>
  <si>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</si>
  <si>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</si>
  <si>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</si>
  <si>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</si>
  <si>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</si>
  <si>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</si>
  <si>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</si>
  <si>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</si>
  <si>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</si>
  <si>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</si>
  <si>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</si>
  <si>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</si>
  <si>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</si>
  <si>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</si>
  <si>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</si>
  <si>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</si>
  <si>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</si>
  <si>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</si>
  <si>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</si>
  <si>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</si>
  <si>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</si>
  <si>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</si>
  <si>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</si>
  <si>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</si>
  <si>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</si>
  <si>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</si>
  <si>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</si>
  <si>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</si>
  <si>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</si>
  <si>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</si>
  <si>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</si>
  <si>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</si>
  <si>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</si>
  <si>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</si>
  <si>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</si>
  <si>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</si>
  <si>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</si>
  <si>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</si>
  <si>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</si>
  <si>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</si>
  <si>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</si>
  <si>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</si>
  <si>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</si>
  <si>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</si>
  <si>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</si>
  <si>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</si>
  <si>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</si>
  <si>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</si>
  <si>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</si>
  <si>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</si>
  <si>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</si>
  <si>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</si>
  <si>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</si>
  <si>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</si>
  <si>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</si>
  <si>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</si>
  <si>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</si>
  <si>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</si>
  <si>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</si>
  <si>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</si>
  <si>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</si>
  <si>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</si>
  <si>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</si>
  <si>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</si>
  <si>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</si>
  <si>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</si>
  <si>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</si>
  <si>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</si>
  <si>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</si>
  <si>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</si>
  <si>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</si>
  <si>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</si>
  <si>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</si>
  <si>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</si>
  <si>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</si>
  <si>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</si>
  <si>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</si>
  <si>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</si>
  <si>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</si>
  <si>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</si>
  <si>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</si>
  <si>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</si>
  <si>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</si>
  <si>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</si>
  <si>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</si>
  <si>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</si>
  <si>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</si>
  <si>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</si>
  <si>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</si>
  <si>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</si>
  <si>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</si>
  <si>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</si>
  <si>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</si>
  <si>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</si>
  <si>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</si>
  <si>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</si>
  <si>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</si>
  <si>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</si>
  <si>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</si>
  <si>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</si>
  <si>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</si>
  <si>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</si>
  <si>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</si>
  <si>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</si>
  <si>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</si>
  <si>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</si>
  <si>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</si>
  <si>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</si>
  <si>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</si>
  <si>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</si>
  <si>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</si>
  <si>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</si>
  <si>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</si>
  <si>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</si>
  <si>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</si>
  <si>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</si>
  <si>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</si>
  <si>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</si>
  <si>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</si>
  <si>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</si>
  <si>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</si>
  <si>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</si>
  <si>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</si>
  <si>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</si>
  <si>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</si>
  <si>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</si>
  <si>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</si>
  <si>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</si>
  <si>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</si>
  <si>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</si>
  <si>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</si>
  <si>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</si>
  <si>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</si>
  <si>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</si>
  <si>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</si>
  <si>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</si>
  <si>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</si>
  <si>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</si>
  <si>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</si>
  <si>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</si>
  <si>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</si>
  <si>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</si>
  <si>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</si>
  <si>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</si>
  <si>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</si>
  <si>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</si>
  <si>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</si>
  <si>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</si>
  <si>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</si>
  <si>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</si>
  <si>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</si>
  <si>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</si>
  <si>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</si>
  <si>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</si>
  <si>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</si>
  <si>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</si>
  <si>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</si>
  <si>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</si>
  <si>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</si>
  <si>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</si>
  <si>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</si>
  <si>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</si>
  <si>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</si>
  <si>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</si>
  <si>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</si>
  <si>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</si>
  <si>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</si>
  <si>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</si>
  <si>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</si>
  <si>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</si>
  <si>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</si>
  <si>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</si>
  <si>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</si>
  <si>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</si>
  <si>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</si>
  <si>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</si>
  <si>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</si>
  <si>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</si>
  <si>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</si>
  <si>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</si>
  <si>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</si>
  <si>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</si>
  <si>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</si>
  <si>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</si>
  <si>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</si>
  <si>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</si>
  <si>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</si>
  <si>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</si>
  <si>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</si>
  <si>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</si>
  <si>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</si>
  <si>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</si>
  <si>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</si>
  <si>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</si>
  <si>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</si>
  <si>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</si>
  <si>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</si>
  <si>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</si>
  <si>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</si>
  <si>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</si>
  <si>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</si>
  <si>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</si>
  <si>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</si>
  <si>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</si>
  <si>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</si>
  <si>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</si>
  <si>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</si>
  <si>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</si>
  <si>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</si>
  <si>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</si>
  <si>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</si>
  <si>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</si>
  <si>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</si>
  <si>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</si>
  <si>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</si>
  <si>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</si>
  <si>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是</t>
  </si>
  <si>
    <t>商业</t>
    <phoneticPr fontId="7" type="noConversion"/>
  </si>
  <si>
    <t>成新度</t>
  </si>
  <si>
    <t>收益法</t>
  </si>
  <si>
    <t>钢</t>
  </si>
  <si>
    <t>非生产用房</t>
  </si>
  <si>
    <t>按租金收入计税</t>
  </si>
  <si>
    <t>押一</t>
  </si>
  <si>
    <t>现房</t>
  </si>
  <si>
    <t>成本法</t>
  </si>
  <si>
    <t>收益比率</t>
  </si>
  <si>
    <t>未包含在土地购买价格中</t>
  </si>
  <si>
    <t>全部缴纳</t>
  </si>
  <si>
    <t>已包含在土地取得成本中</t>
  </si>
  <si>
    <t>地面价</t>
    <phoneticPr fontId="7" type="noConversion"/>
  </si>
  <si>
    <t>楼面地价</t>
    <phoneticPr fontId="7" type="noConversion"/>
  </si>
  <si>
    <t>建安</t>
    <phoneticPr fontId="7" type="noConversion"/>
  </si>
  <si>
    <t>楼面价</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</si>
</sst>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0" xfId="0" applyFont="1" applyProtection="1">
      <alignment vertical="center"/>
      <protection locked="0"/>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3&#12289;7&#21495;&#27004;-&#36793;&#36828;20190517-123645-&#29579;&#36229;&#23731;20190519-1329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12289;7&#21495;&#27004;-&#36793;&#36828;20190517-123645-&#29579;&#36229;&#23731;20190519-132939-&#36793;&#36828;20190520-094106-&#23828;&#38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2)"/>
      <sheetName val="成本法 (3)"/>
      <sheetName val="收益法-3"/>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43598</v>
          </cell>
        </row>
        <row r="13">
          <cell r="E13">
            <v>56156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47">
          <cell r="C47">
            <v>1613</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F6">
            <v>14597.18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27">
          <cell r="F127">
            <v>7397.6099999999988</v>
          </cell>
        </row>
      </sheetData>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成本法 (2)"/>
      <sheetName val="成本法 (3)"/>
      <sheetName val="收益法"/>
      <sheetName val="收益法 (元)"/>
      <sheetName val="酒店收入计算"/>
      <sheetName val="比较法-住宅"/>
      <sheetName val="比较法-商业"/>
      <sheetName val="比较法-办公"/>
      <sheetName val="比较法-工业"/>
      <sheetName val="比较法-车位"/>
      <sheetName val="比较法-仓储"/>
      <sheetName val="收益法-7"/>
      <sheetName val="收益法（汇总）"/>
      <sheetName val="土地比较法-住宅、综合"/>
      <sheetName val="土地比较法-工业"/>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合计表"/>
      <sheetName val="3号楼面积清单"/>
      <sheetName val="6号楼面积清单"/>
      <sheetName val="7号楼面积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7">
          <cell r="C47">
            <v>1675</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估价对象为房地产，为所有。根据《国有土地使用证》[]，估价对象（分摊）出让国有建设用地使用权面积为14597.18平方米，建筑面积为7397.61平方米。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估价对象为房地产,属开发建设的，该项目尚在开发建设中。根据《国有土地使用证》[]，估价对象（分摊）出让国有建设用地使用权面积为14597.18平方米，规划建筑面积为7397.61平方米。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7760</v>
      </c>
    </row>
    <row r="21" spans="1:2" s="1596" customFormat="1">
      <c r="A21" s="1594" t="s">
        <v>1231</v>
      </c>
      <c r="B21" s="1595">
        <f ca="1">'预评函-2'!D7</f>
        <v>10490</v>
      </c>
    </row>
    <row r="22" spans="1:2" s="1596" customFormat="1">
      <c r="A22" s="1594" t="s">
        <v>1232</v>
      </c>
      <c r="B22" s="1595" t="str">
        <f ca="1">'预评函-2'!D6</f>
        <v>柒仟柒佰陆拾万元整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7760</v>
      </c>
    </row>
    <row r="31" spans="1:2" s="1596" customFormat="1">
      <c r="A31" s="1594" t="s">
        <v>1270</v>
      </c>
      <c r="B31" s="1595">
        <f ca="1">'预评函-2'!D15</f>
        <v>10490</v>
      </c>
    </row>
    <row r="32" spans="1:2" s="1596" customFormat="1">
      <c r="A32" s="1594" t="s">
        <v>1237</v>
      </c>
      <c r="B32" s="1595" t="str">
        <f ca="1">'预评函-2'!D14</f>
        <v>柒仟柒佰陆拾万元整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7397.6099999999988</v>
      </c>
    </row>
    <row r="44" spans="1:2" s="1596" customFormat="1">
      <c r="A44" s="1594" t="s">
        <v>1269</v>
      </c>
      <c r="B44" s="1595" t="str">
        <f>'预评函-3'!C2</f>
        <v>(分摊)土地面积</v>
      </c>
    </row>
    <row r="45" spans="1:2" s="1596" customFormat="1">
      <c r="A45" s="1594" t="s">
        <v>1241</v>
      </c>
      <c r="B45" s="1595">
        <f>'预评函-3'!C4</f>
        <v>14597.18</v>
      </c>
    </row>
    <row r="46" spans="1:2" s="1596" customFormat="1">
      <c r="A46" s="1594" t="s">
        <v>1267</v>
      </c>
      <c r="B46" s="1595" t="str">
        <f>'预评函-3'!D2</f>
        <v>出让国有建设用地使用权价值</v>
      </c>
    </row>
    <row r="47" spans="1:2" s="1596" customFormat="1">
      <c r="A47" s="1594" t="s">
        <v>1242</v>
      </c>
      <c r="B47" s="1595">
        <f ca="1">'预评函-3'!D4</f>
        <v>2087</v>
      </c>
    </row>
    <row r="48" spans="1:2" s="1596" customFormat="1">
      <c r="A48" s="1594" t="s">
        <v>1243</v>
      </c>
      <c r="B48" s="1595">
        <f ca="1">'预评函-3'!E4</f>
        <v>2821</v>
      </c>
    </row>
    <row r="49" spans="1:2" s="1596" customFormat="1">
      <c r="A49" s="1594" t="s">
        <v>1244</v>
      </c>
      <c r="B49" s="1595" t="str">
        <f ca="1">'预评函-3'!D5</f>
        <v>贰仟零捌拾柒万元整</v>
      </c>
    </row>
    <row r="50" spans="1:2" s="1596" customFormat="1">
      <c r="A50" s="1594" t="s">
        <v>1268</v>
      </c>
      <c r="B50" s="1595" t="str">
        <f>'预评函-3'!F2</f>
        <v>在建建筑物价值</v>
      </c>
    </row>
    <row r="51" spans="1:2" s="1596" customFormat="1">
      <c r="A51" s="1594" t="s">
        <v>1245</v>
      </c>
      <c r="B51" s="1595">
        <f ca="1">'预评函-3'!F4</f>
        <v>5673</v>
      </c>
    </row>
    <row r="52" spans="1:2" s="1596" customFormat="1">
      <c r="A52" s="1594" t="s">
        <v>1246</v>
      </c>
      <c r="B52" s="1595">
        <f ca="1">'预评函-3'!G4</f>
        <v>7669</v>
      </c>
    </row>
    <row r="53" spans="1:2" s="1596" customFormat="1">
      <c r="A53" s="1594" t="s">
        <v>1274</v>
      </c>
      <c r="B53" s="1595" t="str">
        <f ca="1">'预评函-3'!F5</f>
        <v>伍仟陆佰柒拾叁万元整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6" t="str">
        <f>IF(B10="北京市","北京市",C10)&amp;F10&amp;IF(结果表!G1="在建","出让国有建设用地使用权及在建建筑物",IF(结果表!G1="土地","出让国有建设用地使用权",))&amp;B9&amp;"预评估"</f>
        <v>房地产抵押价值预评估</v>
      </c>
      <c r="C1" s="2997"/>
      <c r="D1" s="2997"/>
      <c r="E1" s="2997"/>
      <c r="F1" s="2997"/>
      <c r="G1" s="2997"/>
      <c r="H1" s="2997"/>
      <c r="I1" s="29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f>[1]项目基本情况!$B$3</f>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2999" t="s">
        <v>1781</v>
      </c>
      <c r="E8" s="2060" t="s">
        <v>3057</v>
      </c>
      <c r="F8" s="2061"/>
      <c r="G8" s="2029"/>
      <c r="H8" s="2029"/>
      <c r="I8" s="2029"/>
      <c r="J8" s="2045"/>
      <c r="K8" s="2046"/>
      <c r="L8" s="2031"/>
      <c r="M8" s="2031"/>
      <c r="N8" s="2032"/>
      <c r="O8" s="2033"/>
      <c r="P8" s="2032"/>
      <c r="Q8" s="2032"/>
      <c r="R8" s="2032"/>
    </row>
    <row r="9" spans="1:19" ht="18" customHeight="1" thickBot="1">
      <c r="A9" s="2043" t="s">
        <v>1782</v>
      </c>
      <c r="B9" s="2062" t="s">
        <v>3057</v>
      </c>
      <c r="C9" s="2063"/>
      <c r="D9" s="3000"/>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3059</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3060</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f>[1]项目基本情况!$E$13</f>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06"/>
      <c r="C16" s="3007"/>
      <c r="D16" s="3008"/>
      <c r="E16" s="2089" t="s">
        <v>1798</v>
      </c>
      <c r="F16" s="3009"/>
      <c r="G16" s="3010"/>
      <c r="H16" s="3010"/>
      <c r="I16" s="3011"/>
      <c r="J16" s="2032"/>
      <c r="K16" s="2086"/>
      <c r="L16" s="2087"/>
      <c r="M16" s="2087"/>
      <c r="N16" s="2088"/>
      <c r="O16" s="2087"/>
      <c r="P16" s="2088"/>
      <c r="Q16" s="2032"/>
      <c r="R16" s="2032"/>
    </row>
    <row r="17" spans="1:22" ht="18" customHeight="1">
      <c r="A17" s="2090" t="s">
        <v>1799</v>
      </c>
      <c r="B17" s="2038" t="s">
        <v>1800</v>
      </c>
      <c r="C17" s="1057">
        <f>'数据-汇总表'!E3</f>
        <v>7397.6099999999988</v>
      </c>
      <c r="D17" s="2091" t="s">
        <v>1801</v>
      </c>
      <c r="E17" s="3012" t="s">
        <v>1802</v>
      </c>
      <c r="F17" s="3013"/>
      <c r="G17" s="3013"/>
      <c r="H17" s="3013"/>
      <c r="I17" s="301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14597.18</v>
      </c>
      <c r="D18" s="2094" t="s">
        <v>1801</v>
      </c>
      <c r="E18" s="3015" t="s">
        <v>1805</v>
      </c>
      <c r="F18" s="3016"/>
      <c r="G18" s="3016"/>
      <c r="H18" s="3016"/>
      <c r="I18" s="301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2" t="s">
        <v>1810</v>
      </c>
      <c r="C20" s="3003"/>
      <c r="D20" s="3004" t="s">
        <v>1811</v>
      </c>
      <c r="E20" s="3005"/>
      <c r="F20" s="2101" t="s">
        <v>1812</v>
      </c>
      <c r="G20" s="2045"/>
      <c r="H20" s="2045"/>
      <c r="I20" s="2045"/>
      <c r="J20" s="2045"/>
      <c r="K20" s="300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0"/>
      <c r="B30" s="2038" t="s">
        <v>1829</v>
      </c>
      <c r="C30" s="3021"/>
      <c r="D30" s="302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18" t="s">
        <v>1839</v>
      </c>
      <c r="T34" s="2138" t="str">
        <f>NUMBERSTRING(7-K34,1)&amp;"通"</f>
        <v>七通</v>
      </c>
      <c r="U34" s="2032"/>
      <c r="V34" s="2032"/>
    </row>
    <row r="35" spans="1:22" ht="18" customHeight="1">
      <c r="A35" s="2139"/>
      <c r="B35" s="3025" t="s">
        <v>1840</v>
      </c>
      <c r="C35" s="3025"/>
      <c r="D35" s="3025"/>
      <c r="E35" s="302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[2]面积表!$F$6</f>
        <v>14597.18</v>
      </c>
      <c r="B3" s="14">
        <f>IF(C3="否",G5-AT5,G5)</f>
        <v>7397.6099999999988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7397.6099999999988</v>
      </c>
      <c r="H5" s="16">
        <f t="shared" ref="H5:AT5" si="0">SUM(H13:H656)</f>
        <v>7397.6099999999988</v>
      </c>
      <c r="I5" s="16">
        <f t="shared" si="0"/>
        <v>7397.6099999999988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7397.6099999999988</v>
      </c>
      <c r="BA5" s="18">
        <f t="shared" si="1"/>
        <v>7397.6099999999988</v>
      </c>
      <c r="BB5" s="18">
        <f t="shared" si="1"/>
        <v>7397.6099999999988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14597.18</v>
      </c>
      <c r="F6" s="16" t="s">
        <v>1</v>
      </c>
      <c r="G6" s="16" t="s">
        <v>2</v>
      </c>
      <c r="H6" s="20">
        <f>SUMIF(I$12:AB$12,"总值",I6:AB6)</f>
        <v>14597.18</v>
      </c>
      <c r="I6" s="16">
        <f t="shared" ref="I6:AB6" si="2">ROUND($A$3*I5/$B$3,2)</f>
        <v>14597.18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14597.18</v>
      </c>
      <c r="AZ6" s="16" t="s">
        <v>3</v>
      </c>
      <c r="BA6" s="16">
        <f>ROUND($AY$6*BA5/$AZ$5,2)</f>
        <v>14597.18</v>
      </c>
      <c r="BB6" s="16">
        <f>ROUND($AY$6*BB5/$AZ$5,2)</f>
        <v>14597.18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3061</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6</v>
      </c>
      <c r="D13" s="2217" t="s">
        <v>3062</v>
      </c>
      <c r="E13" s="16">
        <f>IF($C$3="是",ROUND($A$3*G13/$B$3,2),ROUND($A$3*(G13-AT13)/$B$3,2))</f>
        <v>14597.18</v>
      </c>
      <c r="F13" s="32"/>
      <c r="G13" s="33">
        <f>H13+AC13+AT13</f>
        <v>7397.6099999999988</v>
      </c>
      <c r="H13" s="20">
        <f>SUMIF(I$12:AB$12,"总值",I13:AB13)</f>
        <v>7397.6099999999988</v>
      </c>
      <c r="I13" s="2218">
        <f>'[2]6号楼面积清单'!$F$127</f>
        <v>7397.6099999999988</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6</v>
      </c>
      <c r="AY13" s="1809">
        <f>ROUND($AY$6*AZ13/$AZ$5,2)</f>
        <v>14597.18</v>
      </c>
      <c r="AZ13" s="16">
        <f>BA13+BL13</f>
        <v>7397.6099999999988</v>
      </c>
      <c r="BA13" s="16">
        <f>SUM(BB13:BK13)</f>
        <v>7397.6099999999988</v>
      </c>
      <c r="BB13" s="16">
        <f>IF($D13="是",I13-J13,0)</f>
        <v>7397.6099999999988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40" sqref="F4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7" t="s">
        <v>1936</v>
      </c>
      <c r="B2" s="3037"/>
      <c r="C2" s="3037"/>
      <c r="D2" s="970" t="s">
        <v>1912</v>
      </c>
      <c r="E2" s="2231" t="s">
        <v>1913</v>
      </c>
      <c r="F2" s="1395"/>
      <c r="G2" s="2232"/>
      <c r="H2" s="2233"/>
      <c r="I2" s="2234" t="s">
        <v>1937</v>
      </c>
      <c r="J2" s="1395"/>
      <c r="K2" s="1395"/>
      <c r="L2" s="1395"/>
      <c r="M2" s="1395"/>
      <c r="N2" s="1430"/>
      <c r="O2" s="1395"/>
      <c r="P2" s="1395"/>
    </row>
    <row r="3" spans="1:16" ht="15.75" thickBot="1">
      <c r="A3" s="3038" t="s">
        <v>1910</v>
      </c>
      <c r="B3" s="3038"/>
      <c r="C3" s="3038"/>
      <c r="D3" s="46">
        <f>'数据-基础表'!AY6</f>
        <v>14597.18</v>
      </c>
      <c r="E3" s="46">
        <f>'数据-基础表'!AZ5</f>
        <v>7397.6099999999988</v>
      </c>
      <c r="F3" s="1395"/>
      <c r="G3" s="1402"/>
      <c r="H3" s="1250" t="s">
        <v>1911</v>
      </c>
      <c r="I3" s="55">
        <f>ROUND('数据-基础表'!B3/'数据-基础表'!A3,2)</f>
        <v>0.51</v>
      </c>
      <c r="J3" s="1395"/>
      <c r="K3" s="1395"/>
      <c r="L3" s="1395"/>
      <c r="M3" s="1395"/>
      <c r="N3" s="1430"/>
      <c r="O3" s="1395"/>
      <c r="P3" s="1395"/>
    </row>
    <row r="4" spans="1:16" ht="15">
      <c r="A4" s="3039"/>
      <c r="B4" s="3040"/>
      <c r="C4" s="3041"/>
      <c r="D4" s="2235" t="s">
        <v>1912</v>
      </c>
      <c r="E4" s="2236" t="s">
        <v>1913</v>
      </c>
      <c r="F4" s="1395"/>
      <c r="G4" s="2237" t="s">
        <v>1938</v>
      </c>
      <c r="H4" s="1250" t="s">
        <v>1918</v>
      </c>
      <c r="I4" s="55">
        <f>ROUND(SUMIF('数据-基础表'!I9:AS9,"地上",'数据-基础表'!I5:AS5)/'数据-基础表'!A3,2)</f>
        <v>0.51</v>
      </c>
      <c r="J4" s="1395"/>
      <c r="K4" s="1395"/>
      <c r="L4" s="1395"/>
      <c r="M4" s="1395"/>
      <c r="N4" s="1430"/>
      <c r="O4" s="1395"/>
      <c r="P4" s="1395"/>
    </row>
    <row r="5" spans="1:16">
      <c r="A5" s="47" t="s">
        <v>1914</v>
      </c>
      <c r="B5" s="3042" t="s">
        <v>1915</v>
      </c>
      <c r="C5" s="3042"/>
      <c r="D5" s="48">
        <f>ROUND($D$3*E5/$E$3,2)</f>
        <v>0</v>
      </c>
      <c r="E5" s="49">
        <f>SUMIF('数据-基础表'!$11:$11,"住宅",'数据-基础表'!$5:$5)</f>
        <v>0</v>
      </c>
      <c r="F5" s="1395"/>
      <c r="G5" s="1402"/>
      <c r="H5" s="1250" t="s">
        <v>1911</v>
      </c>
      <c r="I5" s="55">
        <f>ROUND(E31/D31,2)</f>
        <v>0.51</v>
      </c>
      <c r="J5" s="1395"/>
      <c r="K5" s="1395"/>
      <c r="L5" s="1395"/>
      <c r="M5" s="1395"/>
      <c r="N5" s="1395"/>
      <c r="O5" s="1395"/>
      <c r="P5" s="1395"/>
    </row>
    <row r="6" spans="1:16" ht="15" thickBot="1">
      <c r="A6" s="2238"/>
      <c r="B6" s="3042" t="s">
        <v>1916</v>
      </c>
      <c r="C6" s="3042"/>
      <c r="D6" s="48">
        <f>ROUND($D$3*E6/$E$3,2)</f>
        <v>14597.18</v>
      </c>
      <c r="E6" s="49">
        <f>E3-E5</f>
        <v>7397.6099999999988</v>
      </c>
      <c r="F6" s="1395"/>
      <c r="G6" s="2239" t="s">
        <v>1917</v>
      </c>
      <c r="H6" s="1402" t="s">
        <v>1918</v>
      </c>
      <c r="I6" s="942">
        <f>ROUND(F31/D31,2)</f>
        <v>0.51</v>
      </c>
      <c r="J6" s="1395"/>
      <c r="K6" s="1395"/>
      <c r="L6" s="1395"/>
      <c r="M6" s="1395"/>
      <c r="N6" s="1395"/>
      <c r="O6" s="1395"/>
      <c r="P6" s="1395"/>
    </row>
    <row r="7" spans="1:16" ht="15">
      <c r="A7" s="3034"/>
      <c r="B7" s="3035"/>
      <c r="C7" s="303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14597.18</v>
      </c>
      <c r="E8" s="51">
        <f>SUMIF('数据-基础表'!BB10:BK10,"地上",'数据-基础表'!BB5:BK5)</f>
        <v>7397.6099999999988</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14597.18</v>
      </c>
      <c r="E16" s="53">
        <f>SUM(E8:E15)</f>
        <v>7397.6099999999988</v>
      </c>
      <c r="F16" s="1395"/>
      <c r="G16" s="2241"/>
      <c r="H16" s="2244" t="s">
        <v>1940</v>
      </c>
      <c r="I16" s="2245"/>
      <c r="J16" s="1395"/>
      <c r="K16" s="3031" t="s">
        <v>1940</v>
      </c>
      <c r="L16" s="3032"/>
      <c r="M16" s="3032"/>
      <c r="N16" s="3032"/>
      <c r="O16" s="3032"/>
      <c r="P16" s="3033"/>
    </row>
    <row r="17" spans="1:19" ht="15">
      <c r="A17" s="2246" t="s">
        <v>1941</v>
      </c>
      <c r="B17" s="2247" t="s">
        <v>1942</v>
      </c>
      <c r="C17" s="2248" t="s">
        <v>1943</v>
      </c>
      <c r="D17" s="2249" t="s">
        <v>1931</v>
      </c>
      <c r="E17" s="2250" t="s">
        <v>1932</v>
      </c>
      <c r="F17" s="2251"/>
      <c r="G17" s="2252"/>
      <c r="H17" s="2253" t="s">
        <v>1944</v>
      </c>
      <c r="I17" s="2254" t="s">
        <v>1929</v>
      </c>
      <c r="J17" s="1395"/>
      <c r="K17" s="3028" t="s">
        <v>1945</v>
      </c>
      <c r="L17" s="3029"/>
      <c r="M17" s="3030"/>
      <c r="N17" s="3028" t="s">
        <v>1946</v>
      </c>
      <c r="O17" s="3029"/>
      <c r="P17" s="303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3063</v>
      </c>
      <c r="D19" s="48">
        <f>ROUND($D$3*E19/$E$3,2)</f>
        <v>14597.18</v>
      </c>
      <c r="E19" s="56">
        <f t="shared" ref="E19:E26" si="1">SUM(F19:G19)</f>
        <v>7397.6099999999988</v>
      </c>
      <c r="F19" s="57">
        <f>'数据-基础表'!I5</f>
        <v>7397.6099999999988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14597.18</v>
      </c>
      <c r="S19" s="1251">
        <f t="shared" si="5"/>
        <v>7397.6099999999988</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14597.18</v>
      </c>
      <c r="E27" s="1397">
        <f>IF(SUM(E19:E26)='数据-基础表'!BA5,SUM(E19:E26),IF(F27="地上面积有误","面积有误","地下面积有误"))</f>
        <v>7397.6099999999988</v>
      </c>
      <c r="F27" s="1396">
        <f>IF(SUM(F19:F26)=E8,SUM(F19:F26),"地上面积有误")</f>
        <v>7397.6099999999988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14597.18</v>
      </c>
      <c r="S27" s="1250">
        <f>IF(SUM(S19:S26)=$E$3,SUM(S19:S26),SUM(S19:S26)&amp;"误差"&amp;ROUND(SUM(S19:S26)-E3,2))</f>
        <v>7397.6099999999988</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14597.18</v>
      </c>
      <c r="E31" s="729">
        <f>E27+E30</f>
        <v>7397.6099999999988</v>
      </c>
      <c r="F31" s="730">
        <f>F27+F30</f>
        <v>7397.6099999999988</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6">
      <c r="D33" s="2275"/>
    </row>
    <row r="35" spans="4:6">
      <c r="E35" s="2950" t="s">
        <v>3079</v>
      </c>
      <c r="F35" s="2230">
        <f ca="1">结果表!G20</f>
        <v>10490</v>
      </c>
    </row>
    <row r="36" spans="4:6">
      <c r="E36" s="2950" t="s">
        <v>3076</v>
      </c>
      <c r="F36" s="2230">
        <f>'[3]土地比较法-住宅、综合'!$C$47</f>
        <v>1675</v>
      </c>
    </row>
    <row r="37" spans="4:6">
      <c r="E37" s="2950" t="s">
        <v>3077</v>
      </c>
      <c r="F37" s="2230">
        <f>F36/0.5</f>
        <v>3350</v>
      </c>
    </row>
    <row r="38" spans="4:6">
      <c r="E38" s="2950" t="s">
        <v>3078</v>
      </c>
      <c r="F38" s="2230">
        <v>3200</v>
      </c>
    </row>
    <row r="39" spans="4:6">
      <c r="E39" s="2950"/>
      <c r="F39" s="2230">
        <f ca="1">F35-F37-F38</f>
        <v>3940</v>
      </c>
    </row>
    <row r="40" spans="4:6">
      <c r="E40" s="29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43598</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3064</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7397.6099999999988</v>
      </c>
      <c r="L6" s="803">
        <v>3200</v>
      </c>
      <c r="M6" s="75">
        <f t="shared" ref="M6:M14" si="0">ROUND(K6*L6/10000,0)</f>
        <v>2367</v>
      </c>
      <c r="N6" s="801">
        <v>0.97</v>
      </c>
      <c r="O6" s="75" t="str">
        <f>IF($N$5="成新度","——",ROUND(M6*N6,0))</f>
        <v>——</v>
      </c>
      <c r="P6" s="76" t="str">
        <f>IF($N$5="成新度","——",M6-O6)</f>
        <v>——</v>
      </c>
      <c r="Q6" s="804">
        <v>0.2</v>
      </c>
      <c r="R6" s="77">
        <f ca="1">SUMIF('数据-汇总表'!C$19:C$33,A6,'数据-汇总表'!R$19:R$27)</f>
        <v>14597.18</v>
      </c>
      <c r="S6" s="54">
        <f>IF('数据-汇总表'!$I$17="按面积比例",SUMIF('数据-汇总表'!C$19:C$33,A6,'数据-汇总表'!K$19:K$33),SUMIF('数据-汇总表'!C$19:C$33,A6,'数据-汇总表'!N$19:N$33))</f>
        <v>0</v>
      </c>
      <c r="T6" s="1446">
        <f>ROUND($L$14*S6/10000,0)</f>
        <v>0</v>
      </c>
      <c r="U6" s="2951">
        <v>2.2999999999999998</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0.01</v>
      </c>
      <c r="AN6" s="2313" t="s">
        <v>3065</v>
      </c>
      <c r="AO6" s="55">
        <f ca="1">SUMIF(INDIRECT("'"&amp;AN6&amp;"'"&amp;"!A:A"),"总价",INDIRECT("'"&amp;AN6&amp;"'"&amp;"!B:B"))</f>
        <v>8181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0.94799999999999995</v>
      </c>
      <c r="H16" s="99">
        <f>ROUND(SUMPRODUCT(H6:H13,K6:K13)/SUMPRODUCT((H6:H13&gt;0)*(K6:K13)),3)</f>
        <v>0.05</v>
      </c>
      <c r="I16" s="100"/>
      <c r="J16" s="100"/>
      <c r="K16" s="101">
        <f>SUM(K6:K15)</f>
        <v>7397.6099999999988</v>
      </c>
      <c r="L16" s="102">
        <f>ROUND(M16*10000/SUM(K6:K14),0)</f>
        <v>3200</v>
      </c>
      <c r="M16" s="102">
        <f>SUM(M6:M14)</f>
        <v>2367</v>
      </c>
      <c r="N16" s="103">
        <f>ROUND(SUMPRODUCT(M6:M14,N6:N14)/M16,3)</f>
        <v>0.97</v>
      </c>
      <c r="O16" s="102">
        <f>SUM(O6:O14)</f>
        <v>0</v>
      </c>
      <c r="P16" s="102">
        <f>SUM(P6:P14)</f>
        <v>0</v>
      </c>
      <c r="Q16" s="104">
        <f>ROUND(SUMPRODUCT(Q6:Q13,K6:K13)/SUMPRODUCT((Q6:Q13&gt;0)*(K6:K13)),2)</f>
        <v>0.2</v>
      </c>
      <c r="R16" s="1258">
        <f ca="1">SUM(R6:R13)</f>
        <v>14597.18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3</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140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180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180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180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137</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v>5</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3" t="s">
        <v>2081</v>
      </c>
      <c r="B1" s="3044"/>
      <c r="C1" s="3044"/>
      <c r="D1" s="3044"/>
      <c r="E1" s="3044"/>
      <c r="F1" s="3044"/>
      <c r="G1" s="304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11" sqref="E11"/>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7397.6099999999988</v>
      </c>
      <c r="C1" s="1745"/>
      <c r="D1" s="1745"/>
      <c r="E1" s="1745"/>
      <c r="F1" s="1745"/>
      <c r="G1" s="1743"/>
    </row>
    <row r="2" spans="1:10" ht="16.5">
      <c r="A2" s="1746" t="s">
        <v>1349</v>
      </c>
      <c r="B2" s="1746">
        <f>SUM(C14:C23)</f>
        <v>14597.18</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7760</v>
      </c>
      <c r="C5" s="1746">
        <f ca="1">ROUND(B5*10000/$B$1,0)</f>
        <v>10490</v>
      </c>
      <c r="D5" s="1746">
        <f ca="1">ROUND(B5*10000/$B$2,0)</f>
        <v>5316</v>
      </c>
      <c r="E5" s="1745"/>
      <c r="F5" s="1743"/>
      <c r="G5" s="1743"/>
    </row>
    <row r="6" spans="1:10" ht="16.5">
      <c r="A6" s="1746" t="s">
        <v>1352</v>
      </c>
      <c r="B6" s="1746">
        <f ca="1">SUM(G14:G23)</f>
        <v>7760</v>
      </c>
      <c r="C6" s="1746">
        <f ca="1">ROUND(B6*10000/$B$1,0)</f>
        <v>10490</v>
      </c>
      <c r="D6" s="1746">
        <f ca="1">ROUND(B6*10000/$B$2,0)</f>
        <v>5316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7397.6099999999988</v>
      </c>
      <c r="C14" s="1744">
        <f>结果表!C118</f>
        <v>14597.18</v>
      </c>
      <c r="D14" s="1744">
        <f ca="1">结果表!H118</f>
        <v>7760</v>
      </c>
      <c r="E14" s="1744">
        <f ca="1">ROUND(D14*10000/B14,0)</f>
        <v>10490</v>
      </c>
      <c r="F14" s="1744">
        <f ca="1">ROUND(D14*10000/C14,0)</f>
        <v>5316</v>
      </c>
      <c r="G14" s="1744">
        <f ca="1">结果表!D122</f>
        <v>7760</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c r="D1" s="2423"/>
      <c r="E1" s="2423"/>
      <c r="F1" s="2425" t="s">
        <v>2119</v>
      </c>
      <c r="G1" s="2074" t="s">
        <v>3070</v>
      </c>
      <c r="H1" s="2426" t="str">
        <f>IF(G1="现房","——","估价对象范围")</f>
        <v>——</v>
      </c>
      <c r="I1" s="2427"/>
    </row>
    <row r="2" spans="1:12" ht="21.75" customHeight="1" thickBot="1">
      <c r="A2" s="3117" t="str">
        <f>项目基本情况!S2</f>
        <v>房地产</v>
      </c>
      <c r="B2" s="3118"/>
      <c r="C2" s="3118"/>
      <c r="D2" s="3118"/>
      <c r="E2" s="3118"/>
      <c r="F2" s="3118"/>
      <c r="G2" s="3118"/>
      <c r="H2" s="3118"/>
      <c r="I2" s="3119"/>
    </row>
    <row r="3" spans="1:12" ht="12.75">
      <c r="A3" s="3120" t="s">
        <v>2120</v>
      </c>
      <c r="B3" s="3121"/>
      <c r="C3" s="3121"/>
      <c r="D3" s="3121"/>
      <c r="E3" s="3121"/>
      <c r="F3" s="3121"/>
      <c r="G3" s="3121"/>
      <c r="H3" s="3121"/>
      <c r="I3" s="3121"/>
    </row>
    <row r="4" spans="1:12" ht="14.25">
      <c r="A4" s="2430" t="s">
        <v>2121</v>
      </c>
      <c r="B4" s="2431" t="s">
        <v>2122</v>
      </c>
      <c r="C4" s="2432" t="s">
        <v>3071</v>
      </c>
      <c r="D4" s="2432" t="s">
        <v>3065</v>
      </c>
      <c r="E4" s="3101" t="s">
        <v>2123</v>
      </c>
      <c r="F4" s="3114"/>
      <c r="G4" s="3114"/>
      <c r="H4" s="3114"/>
      <c r="I4" s="310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2124</v>
      </c>
      <c r="B5" s="3018">
        <v>25</v>
      </c>
      <c r="C5" s="3122"/>
      <c r="D5" s="3110"/>
      <c r="E5" s="140" t="s">
        <v>2125</v>
      </c>
      <c r="F5" s="2434"/>
      <c r="G5" s="2434"/>
      <c r="H5" s="2434"/>
      <c r="I5" s="1834"/>
    </row>
    <row r="6" spans="1:12" ht="12.75">
      <c r="A6" s="3092"/>
      <c r="B6" s="3018"/>
      <c r="C6" s="3124"/>
      <c r="D6" s="3110"/>
      <c r="E6" s="140" t="s">
        <v>2126</v>
      </c>
      <c r="F6" s="2434"/>
      <c r="G6" s="2434"/>
      <c r="H6" s="2434"/>
      <c r="I6" s="1834"/>
    </row>
    <row r="7" spans="1:12" ht="12.75">
      <c r="A7" s="3092"/>
      <c r="B7" s="3018"/>
      <c r="C7" s="3123"/>
      <c r="D7" s="3110"/>
      <c r="E7" s="140" t="s">
        <v>2127</v>
      </c>
      <c r="F7" s="2434"/>
      <c r="G7" s="2434"/>
      <c r="H7" s="2434"/>
      <c r="I7" s="1834"/>
    </row>
    <row r="8" spans="1:12" ht="12.75">
      <c r="A8" s="3092" t="s">
        <v>2128</v>
      </c>
      <c r="B8" s="3018">
        <v>15</v>
      </c>
      <c r="C8" s="3122"/>
      <c r="D8" s="3110"/>
      <c r="E8" s="140" t="s">
        <v>2129</v>
      </c>
      <c r="F8" s="2434"/>
      <c r="G8" s="2434"/>
      <c r="H8" s="2434"/>
      <c r="I8" s="1834"/>
    </row>
    <row r="9" spans="1:12" ht="12.75">
      <c r="A9" s="3092"/>
      <c r="B9" s="3018"/>
      <c r="C9" s="3123"/>
      <c r="D9" s="3110"/>
      <c r="E9" s="140" t="s">
        <v>2130</v>
      </c>
      <c r="F9" s="2434"/>
      <c r="G9" s="2434"/>
      <c r="H9" s="2434"/>
      <c r="I9" s="1834"/>
    </row>
    <row r="10" spans="1:12" ht="12.75">
      <c r="A10" s="3092" t="s">
        <v>2131</v>
      </c>
      <c r="B10" s="3018">
        <v>15</v>
      </c>
      <c r="C10" s="3122"/>
      <c r="D10" s="3110"/>
      <c r="E10" s="140" t="s">
        <v>2132</v>
      </c>
      <c r="F10" s="2434"/>
      <c r="G10" s="2434"/>
      <c r="H10" s="2434"/>
      <c r="I10" s="1834"/>
    </row>
    <row r="11" spans="1:12" ht="12.75">
      <c r="A11" s="3092"/>
      <c r="B11" s="3018"/>
      <c r="C11" s="3123"/>
      <c r="D11" s="3110"/>
      <c r="E11" s="140" t="s">
        <v>2133</v>
      </c>
      <c r="F11" s="2434"/>
      <c r="G11" s="2434"/>
      <c r="H11" s="2434"/>
      <c r="I11" s="1834"/>
    </row>
    <row r="12" spans="1:12" ht="12.75">
      <c r="A12" s="3092" t="s">
        <v>2134</v>
      </c>
      <c r="B12" s="3018">
        <v>15</v>
      </c>
      <c r="C12" s="3122"/>
      <c r="D12" s="3110"/>
      <c r="E12" s="140" t="s">
        <v>2135</v>
      </c>
      <c r="F12" s="2434"/>
      <c r="G12" s="2434"/>
      <c r="H12" s="2434"/>
      <c r="I12" s="1834"/>
    </row>
    <row r="13" spans="1:12" ht="12.75">
      <c r="A13" s="3092"/>
      <c r="B13" s="3018"/>
      <c r="C13" s="3123"/>
      <c r="D13" s="3110"/>
      <c r="E13" s="140" t="s">
        <v>2136</v>
      </c>
      <c r="F13" s="2434"/>
      <c r="G13" s="2434"/>
      <c r="H13" s="2434"/>
      <c r="I13" s="1834"/>
    </row>
    <row r="14" spans="1:12" ht="12.75">
      <c r="A14" s="3092" t="s">
        <v>2137</v>
      </c>
      <c r="B14" s="3018">
        <v>30</v>
      </c>
      <c r="C14" s="3122">
        <v>1</v>
      </c>
      <c r="D14" s="3110">
        <v>1</v>
      </c>
      <c r="E14" s="140" t="s">
        <v>2138</v>
      </c>
      <c r="F14" s="2434"/>
      <c r="G14" s="2434"/>
      <c r="H14" s="2434"/>
      <c r="I14" s="1834"/>
    </row>
    <row r="15" spans="1:12" ht="12.75">
      <c r="A15" s="3092"/>
      <c r="B15" s="3018"/>
      <c r="C15" s="3124"/>
      <c r="D15" s="3110"/>
      <c r="E15" s="140" t="s">
        <v>2139</v>
      </c>
      <c r="F15" s="2434"/>
      <c r="G15" s="2434"/>
      <c r="H15" s="2434"/>
      <c r="I15" s="1834"/>
    </row>
    <row r="16" spans="1:12" ht="12.75">
      <c r="A16" s="3092"/>
      <c r="B16" s="3018"/>
      <c r="C16" s="3123"/>
      <c r="D16" s="3110"/>
      <c r="E16" s="140" t="s">
        <v>2140</v>
      </c>
      <c r="F16" s="2434"/>
      <c r="G16" s="2434"/>
      <c r="H16" s="2434"/>
      <c r="I16" s="1834"/>
    </row>
    <row r="17" spans="1:35" ht="15">
      <c r="A17" s="2435" t="s">
        <v>2141</v>
      </c>
      <c r="B17" s="64"/>
      <c r="C17" s="141">
        <f>SUM(C5:C16)</f>
        <v>1</v>
      </c>
      <c r="D17" s="141">
        <f>SUM(D5:D16)</f>
        <v>1</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7397.6099999999988</v>
      </c>
      <c r="M18" s="2433">
        <f>IF(C1="",'数据-汇总表'!E3,SUMIF(项目类型,C1,'数据-汇总表'!E17:E26))</f>
        <v>7397.6099999999988</v>
      </c>
    </row>
    <row r="19" spans="1:35" ht="15">
      <c r="A19" s="2439" t="s">
        <v>2146</v>
      </c>
      <c r="B19" s="2440" t="s">
        <v>2147</v>
      </c>
      <c r="C19" s="143">
        <f ca="1">SUMIF(INDIRECT("'"&amp;C4&amp;"'"&amp;"!A:A"),结果表!B19,INDIRECT("'"&amp;C4&amp;"'"&amp;"!B:B"))</f>
        <v>7339</v>
      </c>
      <c r="D19" s="144">
        <f ca="1">SUMIF(INDIRECT("'"&amp;D4&amp;"'"&amp;"!A:A"),结果表!B19,INDIRECT("'"&amp;D4&amp;"'"&amp;"!B:B"))</f>
        <v>8181</v>
      </c>
      <c r="E19" s="2439" t="s">
        <v>2148</v>
      </c>
      <c r="F19" s="2440" t="s">
        <v>2147</v>
      </c>
      <c r="G19" s="145">
        <f ca="1">ROUND(C19*$C$18+D19*$D$18,0)</f>
        <v>7760</v>
      </c>
      <c r="H19" s="2441" t="s">
        <v>2149</v>
      </c>
      <c r="I19" s="138"/>
      <c r="K19" s="2433" t="s">
        <v>2150</v>
      </c>
      <c r="L19" s="2433">
        <f>IF(C1="",'数据-汇总表'!D3,SUMIF(项目类型,C1,'数据-汇总表'!D17:D26)+SUMIF(项目类型,C1,'数据-汇总表'!H17:H27))</f>
        <v>14597.18</v>
      </c>
      <c r="M19" s="2433">
        <f>IF(C1="",'数据-汇总表'!D3,SUMIF(项目类型,C1,'数据-汇总表'!D17:D26))</f>
        <v>14597.18</v>
      </c>
    </row>
    <row r="20" spans="1:35" ht="15">
      <c r="A20" s="2442"/>
      <c r="B20" s="1250" t="s">
        <v>2151</v>
      </c>
      <c r="C20" s="146">
        <f ca="1">SUMIF(INDIRECT("'"&amp;C4&amp;"'"&amp;"!A:A"),结果表!B20,INDIRECT("'"&amp;C4&amp;"'"&amp;"!B:B"))</f>
        <v>9921</v>
      </c>
      <c r="D20" s="147">
        <f ca="1">SUMIF(INDIRECT("'"&amp;D4&amp;"'"&amp;"!A:A"),结果表!B20,INDIRECT("'"&amp;D4&amp;"'"&amp;"!B:B"))</f>
        <v>11059</v>
      </c>
      <c r="E20" s="2442"/>
      <c r="F20" s="1250" t="s">
        <v>2151</v>
      </c>
      <c r="G20" s="148">
        <f ca="1">ROUND(C20*$C$18+D20*$D$18,0)</f>
        <v>10490</v>
      </c>
      <c r="H20" s="983" t="s">
        <v>2152</v>
      </c>
      <c r="I20" s="138"/>
    </row>
    <row r="21" spans="1:35" ht="15" customHeight="1" thickBot="1">
      <c r="A21" s="1003"/>
      <c r="B21" s="2443" t="s">
        <v>2153</v>
      </c>
      <c r="C21" s="789">
        <f ca="1">ROUND(C19*10000/L19,0)</f>
        <v>5028</v>
      </c>
      <c r="D21" s="790">
        <f ca="1">ROUND(D19*10000/L19,0)</f>
        <v>5605</v>
      </c>
      <c r="E21" s="1003"/>
      <c r="F21" s="2443" t="s">
        <v>2153</v>
      </c>
      <c r="G21" s="149">
        <f ca="1">ROUND(G19*10000/L19,0)</f>
        <v>5316</v>
      </c>
      <c r="H21" s="2444" t="s">
        <v>2152</v>
      </c>
      <c r="I21" s="138"/>
    </row>
    <row r="22" spans="1:35" ht="15" thickBot="1">
      <c r="A22" s="2285" t="s">
        <v>2154</v>
      </c>
      <c r="B22" s="2445"/>
      <c r="C22" s="2446"/>
      <c r="D22" s="791">
        <f ca="1">IF(C19&lt;D19,D19/C19-1,C19/D19-1)</f>
        <v>0.11472952718354001</v>
      </c>
      <c r="E22" s="138"/>
      <c r="F22" s="138"/>
      <c r="G22" s="138"/>
      <c r="H22" s="138"/>
      <c r="I22" s="138"/>
    </row>
    <row r="23" spans="1:35" ht="13.5" thickBot="1">
      <c r="A23" s="2423"/>
      <c r="B23" s="2423"/>
      <c r="C23" s="2423"/>
      <c r="D23" s="2423"/>
      <c r="E23" s="138"/>
      <c r="F23" s="138"/>
      <c r="G23" s="138"/>
      <c r="H23" s="138"/>
      <c r="I23" s="138"/>
    </row>
    <row r="24" spans="1:35" ht="14.25">
      <c r="A24" s="3131" t="s">
        <v>2155</v>
      </c>
      <c r="B24" s="2440" t="s">
        <v>2147</v>
      </c>
      <c r="C24" s="145">
        <f>IF(B30=0,0,D30)</f>
        <v>0</v>
      </c>
      <c r="D24" s="2447"/>
      <c r="E24" s="138"/>
      <c r="F24" s="138"/>
      <c r="G24" s="138"/>
      <c r="H24" s="138"/>
      <c r="I24" s="138"/>
    </row>
    <row r="25" spans="1:35" ht="14.25">
      <c r="A25" s="313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7760</v>
      </c>
      <c r="D32" s="2454" t="s">
        <v>2162</v>
      </c>
      <c r="E32" s="138"/>
      <c r="F32" s="138"/>
      <c r="G32" s="138"/>
      <c r="H32" s="138"/>
      <c r="I32" s="138"/>
    </row>
    <row r="33" spans="1:15" ht="15">
      <c r="A33" s="960" t="s">
        <v>2163</v>
      </c>
      <c r="B33" s="2455"/>
      <c r="C33" s="2456" t="s">
        <v>3072</v>
      </c>
      <c r="D33" s="2457" t="s">
        <v>3065</v>
      </c>
      <c r="E33" s="2458" t="s">
        <v>2164</v>
      </c>
      <c r="F33" s="2459" t="str">
        <f>IF(D32="楼面单价","取值（单价）","取值（总价）")</f>
        <v>取值（总价）</v>
      </c>
      <c r="G33" s="138"/>
      <c r="H33" s="138"/>
      <c r="I33" s="138"/>
    </row>
    <row r="34" spans="1:15" ht="15">
      <c r="A34" s="2460"/>
      <c r="B34" s="2461" t="s">
        <v>2165</v>
      </c>
      <c r="C34" s="157">
        <f ca="1">IF(C33="自定义",F34,C32-C35)</f>
        <v>2087</v>
      </c>
      <c r="D34" s="1058">
        <f ca="1">IF(C33="自定义",ROUND(C34/C32,3),IF(C33="收益比率",SUMIF(INDIRECT("'"&amp;D33&amp;"'"&amp;"!b:b"),"土地收益比率",INDIRECT("'"&amp;D33&amp;"'"&amp;"!c:c")),SUMIF(INDIRECT("'"&amp;D33&amp;"'"&amp;"!b:b"),"土地成本比率",INDIRECT("'"&amp;D33&amp;"'"&amp;"!c:c"))))</f>
        <v>0.26900000000000002</v>
      </c>
      <c r="E34" s="2462" t="s">
        <v>2166</v>
      </c>
      <c r="F34" s="1739"/>
      <c r="G34" s="138"/>
      <c r="H34" s="138"/>
      <c r="I34" s="138"/>
    </row>
    <row r="35" spans="1:15" ht="15.75" thickBot="1">
      <c r="A35" s="2463"/>
      <c r="B35" s="2464" t="s">
        <v>2167</v>
      </c>
      <c r="C35" s="1444">
        <f ca="1">IF(C33="自定义",F35,ROUND(C32*D35,0))</f>
        <v>5673</v>
      </c>
      <c r="D35" s="1445">
        <f ca="1">IF(C33="自定义",ROUND(C35/C32,3),IF(C33="收益比率",SUMIF(INDIRECT("'"&amp;D33&amp;"'"&amp;"!b:b"),"建筑物收益比率",INDIRECT("'"&amp;D33&amp;"'"&amp;"!c:c")),SUMIF(INDIRECT("'"&amp;D33&amp;"'"&amp;"!b:b"),"建筑物成本比率",INDIRECT("'"&amp;D33&amp;"'"&amp;"!c:c"))))</f>
        <v>0.73099999999999998</v>
      </c>
      <c r="E35" s="2465" t="s">
        <v>2168</v>
      </c>
      <c r="F35" s="163"/>
      <c r="G35" s="138"/>
      <c r="H35" s="138"/>
      <c r="I35" s="138"/>
    </row>
    <row r="36" spans="1:15" ht="15.75" thickBot="1">
      <c r="A36" s="3111" t="s">
        <v>2169</v>
      </c>
      <c r="B36" s="2466" t="s">
        <v>2170</v>
      </c>
      <c r="C36" s="154"/>
      <c r="D36" s="2467"/>
      <c r="E36" s="2468"/>
      <c r="F36" s="2469"/>
      <c r="G36" s="138"/>
      <c r="H36" s="138"/>
      <c r="I36" s="138"/>
    </row>
    <row r="37" spans="1:15" ht="15.75" thickBot="1">
      <c r="A37" s="3112"/>
      <c r="B37" s="2271" t="s">
        <v>2171</v>
      </c>
      <c r="C37" s="156"/>
      <c r="D37" s="1395"/>
      <c r="E37" s="1395"/>
      <c r="F37" s="2469"/>
      <c r="G37" s="138"/>
      <c r="H37" s="138"/>
      <c r="I37" s="138"/>
    </row>
    <row r="38" spans="1:15" ht="15.75" thickBot="1">
      <c r="A38" s="3113"/>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8" t="s">
        <v>2183</v>
      </c>
      <c r="B45" s="3129"/>
      <c r="C45" s="3130"/>
      <c r="D45" s="164">
        <f ca="1">ROUND(H101*F45,0)</f>
        <v>7760</v>
      </c>
      <c r="E45" s="165" t="s">
        <v>2184</v>
      </c>
      <c r="F45" s="166">
        <v>1</v>
      </c>
      <c r="G45" s="167" t="s">
        <v>2185</v>
      </c>
      <c r="H45" s="138"/>
      <c r="I45" s="138"/>
      <c r="J45" s="3047" t="s">
        <v>2186</v>
      </c>
      <c r="K45" s="3047"/>
      <c r="L45" s="3047"/>
      <c r="M45" s="3047"/>
      <c r="N45" s="3047"/>
      <c r="O45" s="3047"/>
    </row>
    <row r="46" spans="1:15" ht="14.25" customHeight="1">
      <c r="A46" s="3125" t="s">
        <v>2187</v>
      </c>
      <c r="B46" s="3126"/>
      <c r="C46" s="3126"/>
      <c r="D46" s="3126"/>
      <c r="E46" s="3126"/>
      <c r="F46" s="3126"/>
      <c r="G46" s="3127"/>
      <c r="H46" s="2485"/>
      <c r="I46" s="168"/>
      <c r="J46" s="1812">
        <v>1</v>
      </c>
      <c r="K46" s="3047" t="s">
        <v>2188</v>
      </c>
      <c r="L46" s="3047"/>
      <c r="M46" s="3048"/>
      <c r="N46" s="3048"/>
      <c r="O46" s="3048"/>
    </row>
    <row r="47" spans="1:15" ht="12" customHeight="1">
      <c r="A47" s="169" t="s">
        <v>2189</v>
      </c>
      <c r="B47" s="170"/>
      <c r="C47" s="171"/>
      <c r="D47" s="172" t="s">
        <v>2190</v>
      </c>
      <c r="E47" s="24" t="s">
        <v>2191</v>
      </c>
      <c r="F47" s="173" t="s">
        <v>2192</v>
      </c>
      <c r="G47" s="174" t="s">
        <v>2193</v>
      </c>
      <c r="H47" s="2485"/>
      <c r="I47" s="168"/>
      <c r="J47" s="1812">
        <v>2</v>
      </c>
      <c r="K47" s="3047" t="s">
        <v>2194</v>
      </c>
      <c r="L47" s="3047"/>
      <c r="M47" s="3049">
        <f>'数据-取费表'!B2</f>
        <v>43598</v>
      </c>
      <c r="N47" s="3049"/>
      <c r="O47" s="3049"/>
    </row>
    <row r="48" spans="1:15" ht="25.5">
      <c r="A48" s="3115" t="s">
        <v>2195</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7" t="s">
        <v>2198</v>
      </c>
      <c r="L48" s="3047"/>
      <c r="M48" s="3050">
        <f ca="1">H101</f>
        <v>7760</v>
      </c>
      <c r="N48" s="3050"/>
      <c r="O48" s="3050"/>
    </row>
    <row r="49" spans="1:35" ht="25.5" customHeight="1">
      <c r="A49" s="176" t="s">
        <v>2199</v>
      </c>
      <c r="B49" s="3095" t="s">
        <v>2200</v>
      </c>
      <c r="C49" s="3095"/>
      <c r="D49" s="177">
        <v>0</v>
      </c>
      <c r="E49" s="23" t="s">
        <v>2201</v>
      </c>
      <c r="F49" s="28" t="s">
        <v>34</v>
      </c>
      <c r="G49" s="3076"/>
      <c r="H49" s="138"/>
      <c r="I49" s="2488"/>
      <c r="J49" s="1812">
        <v>4</v>
      </c>
      <c r="K49" s="3047" t="str">
        <f>IF(项目基本情况!E8="房地产抵押价值","房地产抵押价值","抵押担保权已注销时的房地产抵押价值")</f>
        <v>房地产抵押价值</v>
      </c>
      <c r="L49" s="3047"/>
      <c r="M49" s="3050">
        <f ca="1">IF(项目基本情况!E8="房地产抵押价值",H107,H109)</f>
        <v>7760</v>
      </c>
      <c r="N49" s="3050"/>
      <c r="O49" s="3050"/>
    </row>
    <row r="50" spans="1:35" ht="25.5" customHeight="1">
      <c r="A50" s="178"/>
      <c r="B50" s="3095" t="s">
        <v>2202</v>
      </c>
      <c r="C50" s="3095"/>
      <c r="D50" s="179"/>
      <c r="E50" s="31"/>
      <c r="F50" s="180"/>
      <c r="G50" s="3077"/>
      <c r="H50" s="138"/>
      <c r="I50" s="2488"/>
      <c r="J50" s="3047" t="s">
        <v>2203</v>
      </c>
      <c r="K50" s="3047"/>
      <c r="L50" s="3047"/>
      <c r="M50" s="3047"/>
      <c r="N50" s="3047"/>
      <c r="O50" s="3047"/>
    </row>
    <row r="51" spans="1:35" ht="12" customHeight="1">
      <c r="A51" s="181"/>
      <c r="B51" s="3095" t="s">
        <v>2204</v>
      </c>
      <c r="C51" s="3095"/>
      <c r="D51" s="182"/>
      <c r="E51" s="30"/>
      <c r="F51" s="180"/>
      <c r="G51" s="3078"/>
      <c r="H51" s="138"/>
      <c r="I51" s="2488"/>
      <c r="J51" s="2489" t="s">
        <v>2205</v>
      </c>
      <c r="K51" s="3047" t="s">
        <v>2206</v>
      </c>
      <c r="L51" s="3047"/>
      <c r="M51" s="2489" t="s">
        <v>2207</v>
      </c>
      <c r="N51" s="2489" t="s">
        <v>2208</v>
      </c>
      <c r="O51" s="2489" t="s">
        <v>2209</v>
      </c>
    </row>
    <row r="52" spans="1:35" ht="24" customHeight="1">
      <c r="A52" s="183" t="s">
        <v>2210</v>
      </c>
      <c r="B52" s="3095" t="s">
        <v>2211</v>
      </c>
      <c r="C52" s="3095"/>
      <c r="D52" s="182">
        <f ca="1">ROUND(D45*'数据-取费表'!B41/(1+'数据-取费表'!C42),0)</f>
        <v>414</v>
      </c>
      <c r="E52" s="11" t="s">
        <v>2212</v>
      </c>
      <c r="F52" s="184">
        <f>'数据-取费表'!B41</f>
        <v>5.6000000000000001E-2</v>
      </c>
      <c r="G52" s="2490"/>
      <c r="H52" s="138"/>
      <c r="I52" s="2488"/>
      <c r="J52" s="1812">
        <v>1</v>
      </c>
      <c r="K52" s="3070" t="s">
        <v>2213</v>
      </c>
      <c r="L52" s="3070"/>
      <c r="M52" s="1754">
        <f>D48</f>
        <v>0</v>
      </c>
      <c r="N52" s="1812" t="str">
        <f>E48</f>
        <v>销售额×税（费）率</v>
      </c>
      <c r="O52" s="1755" t="str">
        <f>F48</f>
        <v>免征</v>
      </c>
    </row>
    <row r="53" spans="1:35" ht="12" customHeight="1">
      <c r="A53" s="183" t="s">
        <v>2214</v>
      </c>
      <c r="B53" s="3096" t="s">
        <v>2215</v>
      </c>
      <c r="C53" s="3097"/>
      <c r="D53" s="182">
        <f ca="1">ROUND(D45*'数据-取费表'!B41/(1+'数据-取费表'!C42),0)</f>
        <v>414</v>
      </c>
      <c r="E53" s="11" t="s">
        <v>2212</v>
      </c>
      <c r="F53" s="184">
        <f>'数据-取费表'!B41</f>
        <v>5.6000000000000001E-2</v>
      </c>
      <c r="G53" s="2490"/>
      <c r="H53" s="138"/>
      <c r="I53" s="2488"/>
      <c r="J53" s="1812">
        <v>2</v>
      </c>
      <c r="K53" s="3070" t="s">
        <v>2216</v>
      </c>
      <c r="L53" s="3070"/>
      <c r="M53" s="1754">
        <f t="shared" ref="M53:O54" ca="1" si="0">D55</f>
        <v>4</v>
      </c>
      <c r="N53" s="1812" t="str">
        <f t="shared" si="0"/>
        <v>销售额×税（费）率</v>
      </c>
      <c r="O53" s="1755">
        <f t="shared" si="0"/>
        <v>5.0000000000000001E-4</v>
      </c>
    </row>
    <row r="54" spans="1:35" ht="12" customHeight="1">
      <c r="A54" s="183" t="s">
        <v>2217</v>
      </c>
      <c r="B54" s="3096" t="s">
        <v>2218</v>
      </c>
      <c r="C54" s="3097"/>
      <c r="D54" s="182">
        <f ca="1">C68</f>
        <v>414</v>
      </c>
      <c r="E54" s="30" t="s">
        <v>2219</v>
      </c>
      <c r="F54" s="184">
        <f>'数据-取费表'!B41</f>
        <v>5.6000000000000001E-2</v>
      </c>
      <c r="G54" s="2490"/>
      <c r="H54" s="2491"/>
      <c r="I54" s="2488"/>
      <c r="J54" s="1812">
        <v>3</v>
      </c>
      <c r="K54" s="3070" t="s">
        <v>2220</v>
      </c>
      <c r="L54" s="3070"/>
      <c r="M54" s="1754">
        <f t="shared" ca="1" si="0"/>
        <v>4392</v>
      </c>
      <c r="N54" s="1812" t="str">
        <f t="shared" si="0"/>
        <v>增值额×税（费）率</v>
      </c>
      <c r="O54" s="1756" t="str">
        <f t="shared" si="0"/>
        <v>——</v>
      </c>
    </row>
    <row r="55" spans="1:35" ht="24" customHeight="1">
      <c r="A55" s="3134" t="s">
        <v>2221</v>
      </c>
      <c r="B55" s="3116"/>
      <c r="C55" s="3116"/>
      <c r="D55" s="185">
        <f ca="1">IF(H55="个人住宅",0,ROUND(D45*I55,0))</f>
        <v>4</v>
      </c>
      <c r="E55" s="11" t="s">
        <v>2222</v>
      </c>
      <c r="F55" s="184">
        <f>IF(H55="正常",I55,"免征")</f>
        <v>5.0000000000000001E-4</v>
      </c>
      <c r="G55" s="2490"/>
      <c r="H55" s="2487" t="s">
        <v>2223</v>
      </c>
      <c r="I55" s="186">
        <f>'数据-取费表'!B49</f>
        <v>5.0000000000000001E-4</v>
      </c>
      <c r="J55" s="1812" t="str">
        <f>IF(H59="非个人房产","",4)</f>
        <v/>
      </c>
      <c r="K55" s="3070" t="str">
        <f>IF(H59="非个人房产","——","个人所得税")</f>
        <v>——</v>
      </c>
      <c r="L55" s="3070"/>
      <c r="M55" s="1757" t="str">
        <f>D59</f>
        <v>——</v>
      </c>
      <c r="N55" s="1810" t="str">
        <f>E59</f>
        <v>——</v>
      </c>
      <c r="O55" s="1758" t="str">
        <f>F59</f>
        <v>——</v>
      </c>
    </row>
    <row r="56" spans="1:35" ht="24.75">
      <c r="A56" s="3134" t="s">
        <v>2224</v>
      </c>
      <c r="B56" s="3116"/>
      <c r="C56" s="3116"/>
      <c r="D56" s="185">
        <f ca="1">IF(H56="个人住宅",D57,D58)</f>
        <v>4392</v>
      </c>
      <c r="E56" s="11" t="s">
        <v>2225</v>
      </c>
      <c r="F56" s="184" t="str">
        <f>IF(H56="正常",F58,"免征")</f>
        <v>——</v>
      </c>
      <c r="G56" s="2492" t="s">
        <v>2226</v>
      </c>
      <c r="H56" s="2493" t="s">
        <v>2223</v>
      </c>
      <c r="I56" s="2494"/>
      <c r="J56" s="1812" t="str">
        <f>IF(项目基本情况!K6="上海银行",IF(J55="",4,J55+1),"")</f>
        <v/>
      </c>
      <c r="K56" s="3053" t="str">
        <f>IF(项目基本情况!K6="上海银行","其他处置费用","")</f>
        <v/>
      </c>
      <c r="L56" s="3054"/>
      <c r="M56" s="1754" t="str">
        <f>IF(项目基本情况!K6="上海银行",M69,"")</f>
        <v/>
      </c>
      <c r="N56" s="3056" t="str">
        <f>IF(项目基本情况!K6="上海银行","包含处置中涉及的律师、诉讼、拍卖、评估等费用","")</f>
        <v/>
      </c>
      <c r="O56" s="3057"/>
    </row>
    <row r="57" spans="1:35" ht="12.75">
      <c r="A57" s="183" t="s">
        <v>2199</v>
      </c>
      <c r="B57" s="3101" t="s">
        <v>2227</v>
      </c>
      <c r="C57" s="3102"/>
      <c r="D57" s="187">
        <v>0</v>
      </c>
      <c r="E57" s="23" t="s">
        <v>2201</v>
      </c>
      <c r="F57" s="155"/>
      <c r="G57" s="2490"/>
      <c r="H57" s="2494"/>
      <c r="I57" s="2494"/>
      <c r="J57" s="3070">
        <f>IF(AND(J55="",J56=""),4,IF(项目基本情况!K6="上海银行",结果表!J56+1,结果表!J55+1))</f>
        <v>4</v>
      </c>
      <c r="K57" s="3070" t="s">
        <v>2228</v>
      </c>
      <c r="L57" s="2495" t="s">
        <v>2229</v>
      </c>
      <c r="M57" s="1759"/>
      <c r="N57" s="1760">
        <f ca="1">SUMIF(M52:M56,"&lt;9e307")</f>
        <v>4396</v>
      </c>
      <c r="O57" s="2496"/>
      <c r="P57" s="1753">
        <f ca="1">N57/M49</f>
        <v>0.56649484536082473</v>
      </c>
    </row>
    <row r="58" spans="1:35" ht="24.75">
      <c r="A58" s="183" t="s">
        <v>2210</v>
      </c>
      <c r="B58" s="3101" t="s">
        <v>2230</v>
      </c>
      <c r="C58" s="3114"/>
      <c r="D58" s="185">
        <f ca="1">IF(H58="转让取得",C81,C97)</f>
        <v>4392</v>
      </c>
      <c r="E58" s="11" t="s">
        <v>2225</v>
      </c>
      <c r="F58" s="24" t="s">
        <v>34</v>
      </c>
      <c r="G58" s="2490"/>
      <c r="H58" s="2493" t="s">
        <v>2231</v>
      </c>
      <c r="I58" s="2494"/>
      <c r="J58" s="3070"/>
      <c r="K58" s="3070"/>
      <c r="L58" s="2495" t="s">
        <v>2232</v>
      </c>
      <c r="M58" s="1761"/>
      <c r="N58" s="2497" t="str">
        <f ca="1">NUMBERSTRING(INT(N57*10000),2)&amp;"元整"</f>
        <v>肆仟叁佰玖拾陆万元整</v>
      </c>
      <c r="O58" s="2498"/>
    </row>
    <row r="59" spans="1:35" ht="24.75" thickBot="1">
      <c r="A59" s="3074" t="s">
        <v>2233</v>
      </c>
      <c r="B59" s="3075"/>
      <c r="C59" s="3075"/>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2">
        <f>J57+1</f>
        <v>5</v>
      </c>
      <c r="K59" s="3070" t="s">
        <v>2235</v>
      </c>
      <c r="L59" s="1812" t="s">
        <v>2229</v>
      </c>
      <c r="M59" s="1762"/>
      <c r="N59" s="1763">
        <f ca="1">M49-N57</f>
        <v>3364</v>
      </c>
      <c r="O59" s="2500"/>
    </row>
    <row r="60" spans="1:35" ht="12" customHeight="1">
      <c r="A60" s="2501"/>
      <c r="B60" s="2423"/>
      <c r="C60" s="2423"/>
      <c r="D60" s="2423"/>
      <c r="E60" s="2170"/>
      <c r="F60" s="2494"/>
      <c r="G60" s="2494"/>
      <c r="H60" s="2502"/>
      <c r="I60" s="138"/>
      <c r="J60" s="3073"/>
      <c r="K60" s="3070"/>
      <c r="L60" s="2495" t="s">
        <v>2232</v>
      </c>
      <c r="M60" s="1761"/>
      <c r="N60" s="2497" t="str">
        <f ca="1">NUMBERSTRING(INT(N59*10000),2)&amp;"元整"</f>
        <v>叁仟叁佰陆拾肆万元整</v>
      </c>
      <c r="O60" s="2498"/>
    </row>
    <row r="61" spans="1:35" ht="13.5" thickBot="1">
      <c r="A61" s="3133" t="s">
        <v>2236</v>
      </c>
      <c r="B61" s="3133"/>
      <c r="C61" s="3133"/>
      <c r="D61" s="3133"/>
      <c r="E61" s="3133"/>
      <c r="F61" s="2494"/>
      <c r="G61" s="2494"/>
      <c r="H61" s="2502"/>
      <c r="I61" s="138"/>
      <c r="J61" s="1812">
        <f>J59+1</f>
        <v>6</v>
      </c>
      <c r="K61" s="3070" t="s">
        <v>2237</v>
      </c>
      <c r="L61" s="3070"/>
      <c r="M61" s="1764"/>
      <c r="N61" s="1765">
        <f ca="1">ROUND(N59*10000/'数据-汇总表'!E3,0)</f>
        <v>4547</v>
      </c>
      <c r="O61" s="2503"/>
    </row>
    <row r="62" spans="1:35" ht="12.75">
      <c r="A62" s="3090" t="s">
        <v>2238</v>
      </c>
      <c r="B62" s="3091"/>
      <c r="C62" s="1804"/>
      <c r="D62" s="1804" t="s">
        <v>2239</v>
      </c>
      <c r="E62" s="192" t="s">
        <v>2240</v>
      </c>
      <c r="F62" s="2494"/>
      <c r="G62" s="2494"/>
      <c r="H62" s="2502"/>
      <c r="I62" s="138"/>
    </row>
    <row r="63" spans="1:35" ht="12.75">
      <c r="A63" s="203" t="s">
        <v>775</v>
      </c>
      <c r="B63" s="193" t="s">
        <v>2241</v>
      </c>
      <c r="C63" s="194">
        <f ca="1">ROUND((C64+C65)/(1+'数据-取费表'!C42),0)</f>
        <v>7390</v>
      </c>
      <c r="D63" s="195"/>
      <c r="E63" s="196"/>
      <c r="F63" s="2494"/>
      <c r="G63" s="2494"/>
      <c r="H63" s="2502"/>
      <c r="I63" s="138"/>
      <c r="J63" s="3055" t="s">
        <v>2242</v>
      </c>
      <c r="K63" s="2504" t="s">
        <v>2243</v>
      </c>
      <c r="L63" s="1752">
        <f ca="1">IF(M49&gt;10000,M49*0.5%,IF(AND(M49&gt;1000,M49&lt;=10000),M49*1%,IF(AND(M49&gt;100,M49&lt;=1000),M49*3%,IF(AND(M49&gt;10,M49&lt;=100),M49*5%,M49*8%))))</f>
        <v>77.600000000000009</v>
      </c>
      <c r="M63" s="24">
        <f ca="1">ROUND(L63,1)</f>
        <v>77.599999999999994</v>
      </c>
      <c r="Z63" s="2428"/>
      <c r="AI63" s="2429"/>
    </row>
    <row r="64" spans="1:35" ht="14.25" customHeight="1">
      <c r="A64" s="197" t="s">
        <v>770</v>
      </c>
      <c r="B64" s="198" t="s">
        <v>2244</v>
      </c>
      <c r="C64" s="199">
        <f ca="1">D45</f>
        <v>7760</v>
      </c>
      <c r="D64" s="200" t="s">
        <v>32</v>
      </c>
      <c r="E64" s="201"/>
      <c r="F64" s="2494"/>
      <c r="G64" s="2494"/>
      <c r="H64" s="2502"/>
      <c r="I64" s="138"/>
      <c r="J64" s="3055"/>
      <c r="K64" s="2504" t="s">
        <v>2245</v>
      </c>
      <c r="L64" s="1752">
        <f ca="1">IF(M49&gt;2000,M49*0.5%,IF(AND(M49&gt;1000,M49&lt;=2000),M49*0.6%,IF(AND(M49&gt;500,M49&lt;=1000),M49*0.7%,IF(AND(M49&gt;200,M49&lt;=500),M49*0.8%,IF(AND(M49&gt;100,M49&lt;=200),M49*0.9%,IF(AND(M49&gt;50,M49&lt;=100),M49*1%,IF(AND(M49&gt;20,M49&lt;=50),M49*1.5%,IF(AND(M49&gt;10,M49&lt;=20),M49*2%,IF(AND(M49&gt;1,M49&lt;=10),M49*2.5%)))))))))</f>
        <v>38.800000000000004</v>
      </c>
      <c r="M64" s="24">
        <f t="shared" ref="M64:M65" ca="1" si="1">ROUND(L64,1)</f>
        <v>38.799999999999997</v>
      </c>
      <c r="N64" s="138" t="s">
        <v>2246</v>
      </c>
      <c r="Z64" s="2428"/>
      <c r="AI64" s="2429"/>
    </row>
    <row r="65" spans="1:35" ht="14.25" customHeight="1">
      <c r="A65" s="197" t="s">
        <v>771</v>
      </c>
      <c r="B65" s="198" t="s">
        <v>2247</v>
      </c>
      <c r="C65" s="202"/>
      <c r="D65" s="200"/>
      <c r="E65" s="201"/>
      <c r="F65" s="2494"/>
      <c r="G65" s="2494"/>
      <c r="H65" s="2502"/>
      <c r="I65" s="138"/>
      <c r="J65" s="3055"/>
      <c r="K65" s="2504" t="s">
        <v>2248</v>
      </c>
      <c r="L65" s="1752">
        <f ca="1">IF(M49&gt;1000,M49*0.1%,IF(AND(M49&gt;500,M49&lt;=1000),M49*0.5%,IF(AND(M49&gt;50,M49&lt;=500),M49*1%,IF(AND(M49&gt;1,M49&lt;=50),M49*1.5%))))</f>
        <v>7.76</v>
      </c>
      <c r="M65" s="24">
        <f t="shared" ca="1" si="1"/>
        <v>7.8</v>
      </c>
      <c r="N65" s="138" t="s">
        <v>2246</v>
      </c>
      <c r="Z65" s="2428"/>
      <c r="AI65" s="2429"/>
    </row>
    <row r="66" spans="1:35" ht="14.25" customHeight="1">
      <c r="A66" s="203" t="s">
        <v>772</v>
      </c>
      <c r="B66" s="204" t="s">
        <v>2249</v>
      </c>
      <c r="C66" s="205"/>
      <c r="D66" s="206" t="s">
        <v>32</v>
      </c>
      <c r="E66" s="1776" t="s">
        <v>1367</v>
      </c>
      <c r="F66" s="2494"/>
      <c r="G66" s="2494"/>
      <c r="H66" s="2502"/>
      <c r="I66" s="138"/>
      <c r="J66" s="3055"/>
      <c r="K66" s="2504" t="s">
        <v>2250</v>
      </c>
      <c r="L66" s="1752">
        <f ca="1">M49*0.5%</f>
        <v>38.800000000000004</v>
      </c>
      <c r="M66" s="24">
        <f ca="1">IF(L66&gt;0.5,0.5,ROUND(L66,0))</f>
        <v>0.5</v>
      </c>
      <c r="N66" s="138" t="s">
        <v>2251</v>
      </c>
      <c r="Z66" s="2428"/>
      <c r="AI66" s="2429"/>
    </row>
    <row r="67" spans="1:35" ht="14.25" customHeight="1">
      <c r="A67" s="203" t="s">
        <v>773</v>
      </c>
      <c r="B67" s="204" t="s">
        <v>2252</v>
      </c>
      <c r="C67" s="207">
        <f ca="1">C63-C66</f>
        <v>7390</v>
      </c>
      <c r="D67" s="200" t="s">
        <v>32</v>
      </c>
      <c r="E67" s="201"/>
      <c r="F67" s="2494"/>
      <c r="G67" s="2494"/>
      <c r="H67" s="2502"/>
      <c r="I67" s="138"/>
      <c r="J67" s="3055"/>
      <c r="K67" s="2504" t="s">
        <v>2253</v>
      </c>
      <c r="L67" s="1752">
        <f ca="1">IF(M49&gt;=10000,(8.25+(M49-10000)*0.01%),IF(AND(M49&gt;=8000,M49&lt;10000),(7.85+(M49-8000)*0.02%),IF(AND(M49&gt;=5000,M49&lt;8000),(6.65+(M49-5000)*0.04%),IF(AND(M49&gt;=2000,M49&lt;5000),(4.25+(PM49-2000)*0.08%),IF(AND(M49&gt;=1000,M49&lt;2000),(2.75+(M49-1000)*0.15%),IF(AND(M49&gt;=100,M49&lt;1000),(0.5+(M49-100)*0.25%),IF(AND(M49&gt;0,M49&lt;100),M49*0.5%)))))))</f>
        <v>7.7540000000000004</v>
      </c>
      <c r="M67" s="24">
        <f ca="1">ROUND(L67*0.9,1)</f>
        <v>7</v>
      </c>
      <c r="Z67" s="2428"/>
      <c r="AI67" s="2429"/>
    </row>
    <row r="68" spans="1:35" ht="14.25" customHeight="1" thickBot="1">
      <c r="A68" s="208" t="s">
        <v>774</v>
      </c>
      <c r="B68" s="209" t="s">
        <v>2254</v>
      </c>
      <c r="C68" s="210">
        <f ca="1">IF(C67&lt;=0,0,ROUND(C67*D68,0))</f>
        <v>414</v>
      </c>
      <c r="D68" s="211">
        <f>'数据-取费表'!B41</f>
        <v>5.6000000000000001E-2</v>
      </c>
      <c r="E68" s="212"/>
      <c r="F68" s="2494"/>
      <c r="G68" s="2494"/>
      <c r="H68" s="2502"/>
      <c r="I68" s="138"/>
      <c r="J68" s="3055"/>
      <c r="K68" s="2504" t="s">
        <v>2255</v>
      </c>
      <c r="L68" s="1752">
        <f ca="1">IF(M49&gt;10000,M49*0.5%,IF(AND(M49&gt;5000,M49&lt;=10000),M49*1%,IF(AND(M49&gt;1000,M49&lt;=5000),M49*2%,IF(AND(M49&gt;200,M49&lt;=1000),M49*3%,M49*5%))))</f>
        <v>77.600000000000009</v>
      </c>
      <c r="M68" s="24">
        <f ca="1">ROUND(L68,1)</f>
        <v>77.599999999999994</v>
      </c>
      <c r="Z68" s="2428"/>
      <c r="AI68" s="2429"/>
    </row>
    <row r="69" spans="1:35" s="2451" customFormat="1" ht="16.5" customHeight="1">
      <c r="A69" s="2505"/>
      <c r="B69" s="2506"/>
      <c r="C69" s="2507"/>
      <c r="D69" s="2508"/>
      <c r="E69" s="2509"/>
      <c r="F69" s="2170"/>
      <c r="G69" s="2170"/>
      <c r="H69" s="2169"/>
      <c r="I69" s="2423"/>
      <c r="J69" s="3055"/>
      <c r="K69" s="2504" t="s">
        <v>2256</v>
      </c>
      <c r="L69" s="2510"/>
      <c r="M69" s="24">
        <f ca="1">ROUND(SUM(M63:M68),0)</f>
        <v>209</v>
      </c>
      <c r="N69" s="1753">
        <f ca="1">M69/M49</f>
        <v>2.6932989690721651E-2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9" t="s">
        <v>2257</v>
      </c>
      <c r="B70" s="3100"/>
      <c r="C70" s="3100"/>
      <c r="D70" s="3100"/>
      <c r="E70" s="3100"/>
      <c r="F70" s="3100"/>
      <c r="G70" s="3100"/>
      <c r="H70" s="310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0" t="s">
        <v>2238</v>
      </c>
      <c r="B71" s="3091"/>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7390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44</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6" t="s">
        <v>2266</v>
      </c>
      <c r="F76" s="3095"/>
      <c r="G76" s="3095"/>
      <c r="H76" s="309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44</v>
      </c>
      <c r="D78" s="226">
        <f>'数据-取费表'!B43</f>
        <v>6.000000000000001E-3</v>
      </c>
      <c r="E78" s="3087" t="s">
        <v>2271</v>
      </c>
      <c r="F78" s="3088"/>
      <c r="G78" s="3088"/>
      <c r="H78" s="308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7346</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166.95454545454547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4392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9" t="s">
        <v>2275</v>
      </c>
      <c r="B83" s="3100"/>
      <c r="C83" s="3100"/>
      <c r="D83" s="3100"/>
      <c r="E83" s="3100"/>
      <c r="F83" s="3100"/>
      <c r="G83" s="3100"/>
      <c r="H83" s="310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0" t="s">
        <v>2238</v>
      </c>
      <c r="B84" s="3091"/>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7390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44</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7" t="s">
        <v>2284</v>
      </c>
      <c r="F91" s="3088"/>
      <c r="G91" s="308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7" t="s">
        <v>2288</v>
      </c>
      <c r="F92" s="3088"/>
      <c r="G92" s="3088"/>
      <c r="H92" s="308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44</v>
      </c>
      <c r="D93" s="226">
        <f>'数据-取费表'!B43</f>
        <v>6.000000000000001E-3</v>
      </c>
      <c r="E93" s="3087" t="s">
        <v>2271</v>
      </c>
      <c r="F93" s="3088"/>
      <c r="G93" s="3088"/>
      <c r="H93" s="308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5" t="s">
        <v>2292</v>
      </c>
      <c r="F94" s="3136"/>
      <c r="G94" s="3136"/>
      <c r="H94" s="313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7346</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166.95454545454547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4392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9" t="s">
        <v>2294</v>
      </c>
      <c r="B100" s="3040"/>
      <c r="C100" s="3040"/>
      <c r="D100" s="3071"/>
      <c r="E100" s="3040" t="s">
        <v>2295</v>
      </c>
      <c r="F100" s="3040"/>
      <c r="G100" s="3040"/>
      <c r="H100" s="3071"/>
      <c r="I100" s="138"/>
    </row>
    <row r="101" spans="1:35" ht="18.75" customHeight="1">
      <c r="A101" s="3079" t="s">
        <v>2296</v>
      </c>
      <c r="B101" s="3080"/>
      <c r="C101" s="736" t="str">
        <f>C4</f>
        <v>成本法</v>
      </c>
      <c r="D101" s="737" t="str">
        <f>D4</f>
        <v>收益法</v>
      </c>
      <c r="E101" s="3051" t="s">
        <v>2297</v>
      </c>
      <c r="F101" s="3052"/>
      <c r="G101" s="2525" t="s">
        <v>2298</v>
      </c>
      <c r="H101" s="1048">
        <f ca="1">H118</f>
        <v>7760</v>
      </c>
      <c r="I101" s="138"/>
    </row>
    <row r="102" spans="1:35" ht="18.75" customHeight="1">
      <c r="A102" s="3081" t="s">
        <v>2299</v>
      </c>
      <c r="B102" s="2525" t="s">
        <v>2298</v>
      </c>
      <c r="C102" s="736">
        <f ca="1">C19</f>
        <v>7339</v>
      </c>
      <c r="D102" s="737">
        <f ca="1">D19</f>
        <v>8181</v>
      </c>
      <c r="E102" s="3051"/>
      <c r="F102" s="3052"/>
      <c r="G102" s="2525" t="s">
        <v>2300</v>
      </c>
      <c r="H102" s="371">
        <f ca="1">I118</f>
        <v>10490</v>
      </c>
      <c r="I102" s="138"/>
    </row>
    <row r="103" spans="1:35" ht="42.75" customHeight="1">
      <c r="A103" s="3081"/>
      <c r="B103" s="2525" t="s">
        <v>2300</v>
      </c>
      <c r="C103" s="738">
        <f ca="1">C20</f>
        <v>9921</v>
      </c>
      <c r="D103" s="739">
        <f ca="1">D20</f>
        <v>11059</v>
      </c>
      <c r="E103" s="3045" t="s">
        <v>2301</v>
      </c>
      <c r="F103" s="3046"/>
      <c r="G103" s="2526" t="s">
        <v>2302</v>
      </c>
      <c r="H103" s="1048">
        <f>IF(D36="正常操作",H104+H105+H106,H105+H106)</f>
        <v>0</v>
      </c>
      <c r="I103" s="138"/>
    </row>
    <row r="104" spans="1:35" ht="18.75" customHeight="1">
      <c r="A104" s="3081" t="s">
        <v>2303</v>
      </c>
      <c r="B104" s="2527" t="s">
        <v>2298</v>
      </c>
      <c r="C104" s="740">
        <f ca="1">H118</f>
        <v>7760</v>
      </c>
      <c r="D104" s="741"/>
      <c r="E104" s="2271" t="s">
        <v>2304</v>
      </c>
      <c r="F104" s="2262"/>
      <c r="G104" s="2526" t="s">
        <v>2302</v>
      </c>
      <c r="H104" s="1049">
        <f>IF(D36="同一抵押权人同一抵押物续贷",C36&amp;"（未扣减，详见特别提示）",C36)</f>
        <v>0</v>
      </c>
      <c r="I104" s="138"/>
    </row>
    <row r="105" spans="1:35" ht="18.75" customHeight="1" thickBot="1">
      <c r="A105" s="3093"/>
      <c r="B105" s="2528" t="s">
        <v>2300</v>
      </c>
      <c r="C105" s="742">
        <f ca="1">I118</f>
        <v>10490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2" t="str">
        <f>IF(项目基本情况!E8="已注销","——","3.房地产抵押价值")</f>
        <v>3.房地产抵押价值</v>
      </c>
      <c r="F107" s="3052"/>
      <c r="G107" s="2525" t="s">
        <v>2298</v>
      </c>
      <c r="H107" s="1048">
        <f ca="1">IF(E107="——","——",H101-H103)</f>
        <v>7760</v>
      </c>
      <c r="I107" s="138"/>
    </row>
    <row r="108" spans="1:35" ht="18.75" customHeight="1">
      <c r="A108" s="138"/>
      <c r="B108" s="138"/>
      <c r="C108" s="138"/>
      <c r="D108" s="138"/>
      <c r="E108" s="3082"/>
      <c r="F108" s="3052"/>
      <c r="G108" s="2525" t="s">
        <v>2300</v>
      </c>
      <c r="H108" s="371">
        <f ca="1">ROUND(H107*10000/'数据-汇总表'!E3,0)</f>
        <v>10490</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25" t="s">
        <v>2298</v>
      </c>
      <c r="H109" s="348" t="str">
        <f>IF(E109="——","——",H101-H105-H106)</f>
        <v>——</v>
      </c>
      <c r="I109" s="138"/>
    </row>
    <row r="110" spans="1:35" ht="18.75" customHeight="1">
      <c r="A110" s="138"/>
      <c r="B110" s="138"/>
      <c r="C110" s="138"/>
      <c r="D110" s="138"/>
      <c r="E110" s="3082"/>
      <c r="F110" s="3052"/>
      <c r="G110" s="2525" t="s">
        <v>2300</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25" t="s">
        <v>2298</v>
      </c>
      <c r="H111" s="1048" t="str">
        <f>IF(E111="——","——",N59)</f>
        <v>——</v>
      </c>
      <c r="I111" s="138"/>
    </row>
    <row r="112" spans="1:35" ht="18.75" customHeight="1" thickBot="1">
      <c r="A112" s="138"/>
      <c r="B112" s="138"/>
      <c r="C112" s="138"/>
      <c r="D112" s="138"/>
      <c r="E112" s="3085"/>
      <c r="F112" s="3086"/>
      <c r="G112" s="2530" t="s">
        <v>2300</v>
      </c>
      <c r="H112" s="790" t="str">
        <f>IF(E111="——","——",N61)</f>
        <v>——</v>
      </c>
      <c r="I112" s="138"/>
    </row>
    <row r="113" spans="1:11" ht="18.75" customHeight="1">
      <c r="A113" s="138"/>
      <c r="B113" s="138"/>
      <c r="C113" s="138"/>
      <c r="D113" s="138"/>
      <c r="E113" s="3094" t="s">
        <v>2306</v>
      </c>
      <c r="F113" s="3094"/>
      <c r="G113" s="3094"/>
      <c r="H113" s="3094"/>
      <c r="I113" s="138"/>
    </row>
    <row r="114" spans="1:11" ht="3.75" customHeight="1">
      <c r="A114" s="2423"/>
      <c r="B114" s="2423"/>
      <c r="C114" s="2423"/>
      <c r="D114" s="2423"/>
      <c r="E114" s="2501"/>
      <c r="F114" s="2501"/>
      <c r="G114" s="2501"/>
      <c r="H114" s="2501"/>
      <c r="I114" s="2423"/>
    </row>
    <row r="115" spans="1:11" ht="18.75" customHeight="1">
      <c r="A115" s="3107" t="s">
        <v>2308</v>
      </c>
      <c r="B115" s="3108"/>
      <c r="C115" s="3108"/>
      <c r="D115" s="3108"/>
      <c r="E115" s="3108"/>
      <c r="F115" s="3108"/>
      <c r="G115" s="3108"/>
      <c r="H115" s="3108"/>
      <c r="I115" s="3109"/>
    </row>
    <row r="116" spans="1:11" ht="27" customHeight="1">
      <c r="A116" s="3018" t="s">
        <v>2309</v>
      </c>
      <c r="B116" s="3061" t="s">
        <v>2310</v>
      </c>
      <c r="C116" s="3061" t="s">
        <v>2311</v>
      </c>
      <c r="D116" s="3067" t="s">
        <v>2312</v>
      </c>
      <c r="E116" s="3068"/>
      <c r="F116" s="3103" t="s">
        <v>2313</v>
      </c>
      <c r="G116" s="3103"/>
      <c r="H116" s="3018" t="s">
        <v>2314</v>
      </c>
      <c r="I116" s="3018"/>
    </row>
    <row r="117" spans="1:11" ht="18.75" customHeight="1">
      <c r="A117" s="3018"/>
      <c r="B117" s="3062"/>
      <c r="C117" s="3062"/>
      <c r="D117" s="1798" t="s">
        <v>2315</v>
      </c>
      <c r="E117" s="1798" t="s">
        <v>2316</v>
      </c>
      <c r="F117" s="1798" t="s">
        <v>2315</v>
      </c>
      <c r="G117" s="1798" t="s">
        <v>2317</v>
      </c>
      <c r="H117" s="1798" t="s">
        <v>2315</v>
      </c>
      <c r="I117" s="1798" t="s">
        <v>2317</v>
      </c>
    </row>
    <row r="118" spans="1:11" ht="24.75" customHeight="1">
      <c r="A118" s="2531" t="str">
        <f>项目基本情况!S2</f>
        <v>房地产</v>
      </c>
      <c r="B118" s="1798">
        <f>M18</f>
        <v>7397.6099999999988</v>
      </c>
      <c r="C118" s="1798">
        <f>M19</f>
        <v>14597.18</v>
      </c>
      <c r="D118" s="1798">
        <f ca="1">ROUND(IF(D32="总价",C34,E118*B118/10000),0)</f>
        <v>2087</v>
      </c>
      <c r="E118" s="1798">
        <f ca="1">ROUND(IF(C33="自定义",IF(D32="楼面单价",C34,D118*10000/B118),I118-G118),0)</f>
        <v>2821</v>
      </c>
      <c r="F118" s="1798">
        <f ca="1">ROUND(IF(D32="总价",C35,G118*B118/10000),0)</f>
        <v>5673</v>
      </c>
      <c r="G118" s="1798">
        <f ca="1">ROUND(IF(D32="楼面单价",C35,F118*10000/B118),0)</f>
        <v>7669</v>
      </c>
      <c r="H118" s="1798">
        <f ca="1">ROUND(IF(D32="总价",C32,I118*B118/10000),0)</f>
        <v>7760</v>
      </c>
      <c r="I118" s="1798">
        <f ca="1">ROUND(IF(D32="楼面单价",C32,H118*10000/B118),0)</f>
        <v>10490</v>
      </c>
    </row>
    <row r="119" spans="1:11" ht="18.75" customHeight="1">
      <c r="A119" s="3018" t="s">
        <v>2318</v>
      </c>
      <c r="B119" s="3018"/>
      <c r="C119" s="3018"/>
      <c r="D119" s="3063" t="str">
        <f ca="1">NUMBERSTRING(INT(D118*10000),2)&amp;"元整"</f>
        <v>贰仟零捌拾柒万元整</v>
      </c>
      <c r="E119" s="3064"/>
      <c r="F119" s="3063" t="str">
        <f ca="1">NUMBERSTRING(INT(F118*10000),2)&amp;"元整"</f>
        <v>伍仟陆佰柒拾叁万元整</v>
      </c>
      <c r="G119" s="3064"/>
      <c r="H119" s="3063" t="str">
        <f ca="1">NUMBERSTRING(INT(H118*10000),2)&amp;"元整"</f>
        <v>柒仟柒佰陆拾万元整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8" t="str">
        <f>IF(D120=0,"故，本次评估不存在"&amp;A120,"故，本次评估"&amp;A120&amp;"为人民币"&amp;D120&amp;"万元整。")</f>
        <v>故，本次评估不存在估价师知悉的法定优先受偿款</v>
      </c>
    </row>
    <row r="121" spans="1:11" ht="18.75" customHeight="1">
      <c r="A121" s="3104" t="s">
        <v>2318</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7760</v>
      </c>
      <c r="E122" s="3059"/>
      <c r="F122" s="3059"/>
      <c r="G122" s="3059"/>
      <c r="H122" s="3059"/>
      <c r="I122" s="3060"/>
    </row>
    <row r="123" spans="1:11" ht="18.75" customHeight="1">
      <c r="A123" s="3018" t="s">
        <v>2318</v>
      </c>
      <c r="B123" s="3018"/>
      <c r="C123" s="3018"/>
      <c r="D123" s="3063" t="str">
        <f ca="1">NUMBERSTRING(INT(D122*10000),2)&amp;"元整"</f>
        <v>柒仟柒佰陆拾万元整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2318</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2318</v>
      </c>
      <c r="B127" s="3018"/>
      <c r="C127" s="3018"/>
      <c r="D127" s="3063" t="e">
        <f>NUMBERSTRING(INT(D126*10000),2)&amp;"元整"</f>
        <v>#VALUE!</v>
      </c>
      <c r="E127" s="3065"/>
      <c r="F127" s="3065"/>
      <c r="G127" s="3065"/>
      <c r="H127" s="3065"/>
      <c r="I127" s="3064"/>
    </row>
    <row r="128" spans="1:11" ht="21.75" customHeight="1">
      <c r="A128" s="3066" t="s">
        <v>2319</v>
      </c>
      <c r="B128" s="3066"/>
      <c r="C128" s="3066"/>
      <c r="D128" s="3066"/>
      <c r="E128" s="3066"/>
      <c r="F128" s="3066"/>
      <c r="G128" s="3066"/>
      <c r="H128" s="3066"/>
      <c r="I128" s="306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1373</v>
      </c>
      <c r="C1" s="242"/>
      <c r="D1" s="242"/>
      <c r="E1" s="242"/>
      <c r="F1" s="242"/>
      <c r="G1" s="1382">
        <f>MATCH(B1,'数据-取费表'!A6:A16,0)+5</f>
        <v>6</v>
      </c>
    </row>
    <row r="2" spans="1:9" s="244" customFormat="1" ht="18" customHeight="1">
      <c r="A2" s="245" t="s">
        <v>2328</v>
      </c>
      <c r="B2" s="246">
        <f ca="1">IF(D2="——",C52,C52-E2)</f>
        <v>7339</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9921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2530.525134</v>
      </c>
      <c r="D5" s="255" t="s">
        <v>2335</v>
      </c>
      <c r="E5" s="256" t="s">
        <v>2336</v>
      </c>
      <c r="F5" s="256" t="s">
        <v>2337</v>
      </c>
      <c r="G5" s="257"/>
    </row>
    <row r="6" spans="1:9" s="258" customFormat="1" ht="13.5" customHeight="1">
      <c r="A6" s="952" t="s">
        <v>2338</v>
      </c>
      <c r="B6" s="259" t="s">
        <v>2339</v>
      </c>
      <c r="C6" s="260">
        <f>'[1]土地比较法-住宅、综合'!$C$47*'数据-汇总表'!D3/10000</f>
        <v>2354.525134</v>
      </c>
      <c r="D6" s="261"/>
      <c r="E6" s="262"/>
      <c r="F6" s="262"/>
      <c r="G6" s="263"/>
    </row>
    <row r="7" spans="1:9" s="258" customFormat="1" ht="13.5" customHeight="1">
      <c r="A7" s="952" t="s">
        <v>2340</v>
      </c>
      <c r="B7" s="259" t="s">
        <v>2341</v>
      </c>
      <c r="C7" s="264">
        <f>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104</v>
      </c>
      <c r="D8" s="266"/>
      <c r="E8" s="264"/>
      <c r="F8" s="265"/>
      <c r="G8" s="2557" t="s">
        <v>3073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3074</v>
      </c>
      <c r="H9" s="1393"/>
      <c r="I9" s="2559" t="s">
        <v>2345</v>
      </c>
    </row>
    <row r="10" spans="1:9" s="258" customFormat="1" ht="13.5" customHeight="1">
      <c r="A10" s="953" t="s">
        <v>801</v>
      </c>
      <c r="B10" s="268" t="s">
        <v>2346</v>
      </c>
      <c r="C10" s="269">
        <f ca="1">ROUND(D10*E10/10000,0)</f>
        <v>104</v>
      </c>
      <c r="D10" s="1035">
        <f ca="1">IF(B1="",'数据-汇总表'!E6,IF(INDIRECT("'数据-取费表'!c"&amp;$G$1)="住宅",INDIRECT("'数据-取费表'!s"&amp;$G$1),INDIRECT("'数据-取费表'!k"&amp;$G$1)+INDIRECT("'数据-取费表'!s"&amp;$G$1)))</f>
        <v>7397.6099999999988</v>
      </c>
      <c r="E10" s="269">
        <f>'数据-取费表'!B28</f>
        <v>140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7397.6099999999988</v>
      </c>
      <c r="E19" s="255">
        <f>'数据-取费表'!B31</f>
        <v>180</v>
      </c>
      <c r="F19" s="275"/>
      <c r="G19" s="2557" t="s">
        <v>3075</v>
      </c>
    </row>
    <row r="20" spans="1:7" s="258" customFormat="1" ht="13.5" customHeight="1">
      <c r="A20" s="299" t="s">
        <v>2359</v>
      </c>
      <c r="B20" s="254" t="s">
        <v>2360</v>
      </c>
      <c r="C20" s="276">
        <f ca="1">ROUND((C5+C19)*F20,0)</f>
        <v>51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382</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378</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516</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516</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3777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2607</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2367</v>
      </c>
      <c r="D34" s="261"/>
      <c r="E34" s="264"/>
      <c r="F34" s="301">
        <f ca="1">IF('数据-取费表'!B24=0,1,IF(B1="",'数据-取费表'!N16,INDIRECT("'数据-取费表'!n"&amp;$G$1)))</f>
        <v>1</v>
      </c>
      <c r="G34" s="263" t="s">
        <v>2392</v>
      </c>
    </row>
    <row r="35" spans="1:7" ht="13.5" customHeight="1">
      <c r="A35" s="954" t="s">
        <v>796</v>
      </c>
      <c r="B35" s="259" t="s">
        <v>2393</v>
      </c>
      <c r="C35" s="264">
        <f ca="1">ROUND(C34*F35,0)</f>
        <v>71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133</v>
      </c>
      <c r="D37" s="261">
        <f ca="1">D19</f>
        <v>7397.6099999999988</v>
      </c>
      <c r="E37" s="293">
        <f>'数据-取费表'!B35</f>
        <v>180</v>
      </c>
      <c r="F37" s="303"/>
      <c r="G37" s="305" t="s">
        <v>2398</v>
      </c>
    </row>
    <row r="38" spans="1:7" ht="13.5" customHeight="1">
      <c r="A38" s="954" t="s">
        <v>799</v>
      </c>
      <c r="B38" s="259" t="s">
        <v>2399</v>
      </c>
      <c r="C38" s="264">
        <f ca="1">ROUND(C34*F38,0)</f>
        <v>36</v>
      </c>
      <c r="D38" s="264"/>
      <c r="E38" s="264"/>
      <c r="F38" s="303">
        <f>'数据-取费表'!B36</f>
        <v>1.4999999999999999E-2</v>
      </c>
      <c r="G38" s="263" t="s">
        <v>2394</v>
      </c>
    </row>
    <row r="39" spans="1:7" s="258" customFormat="1" ht="13.5" customHeight="1">
      <c r="A39" s="299" t="s">
        <v>2400</v>
      </c>
      <c r="B39" s="254" t="s">
        <v>2401</v>
      </c>
      <c r="C39" s="276">
        <f ca="1">ROUND(C33*F20,0)</f>
        <v>52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192</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188</v>
      </c>
      <c r="D42" s="282"/>
      <c r="E42" s="282"/>
      <c r="F42" s="283"/>
      <c r="G42" s="3138" t="s">
        <v>2410</v>
      </c>
    </row>
    <row r="43" spans="1:7" ht="13.5" customHeight="1">
      <c r="A43" s="954" t="s">
        <v>792</v>
      </c>
      <c r="B43" s="259" t="s">
        <v>2411</v>
      </c>
      <c r="C43" s="282">
        <f ca="1">ROUND(IF('数据-取费表'!B22&lt;=1,C39*F22*'数据-取费表'!B21/2,C39*(POWER((1+F22),'数据-取费表'!B21/2)-1)),0)</f>
        <v>4</v>
      </c>
      <c r="D43" s="282"/>
      <c r="E43" s="282"/>
      <c r="F43" s="283"/>
      <c r="G43" s="3139"/>
    </row>
    <row r="44" spans="1:7" ht="13.5" customHeight="1">
      <c r="A44" s="954" t="s">
        <v>793</v>
      </c>
      <c r="B44" s="259" t="s">
        <v>2412</v>
      </c>
      <c r="C44" s="282">
        <f ca="1">ROUND(IF('数据-取费表'!B22&lt;=1,C40*F22*'数据-取费表'!B21/2,C40*(POWER((1+F22),'数据-取费表'!B21/2)-1)),4)</f>
        <v>1.4E-3</v>
      </c>
      <c r="D44" s="282"/>
      <c r="E44" s="282"/>
      <c r="F44" s="283"/>
      <c r="G44" s="3140"/>
    </row>
    <row r="45" spans="1:7" s="258" customFormat="1" ht="13.5" customHeight="1">
      <c r="A45" s="299" t="s">
        <v>2413</v>
      </c>
      <c r="B45" s="288" t="s">
        <v>2379</v>
      </c>
      <c r="C45" s="289">
        <f ca="1">C46</f>
        <v>532</v>
      </c>
      <c r="D45" s="279">
        <f ca="1">C47</f>
        <v>4.0000000000000001E-3</v>
      </c>
      <c r="E45" s="280" t="s">
        <v>2405</v>
      </c>
      <c r="F45" s="290"/>
      <c r="G45" s="291" t="s">
        <v>2414</v>
      </c>
    </row>
    <row r="46" spans="1:7" s="258" customFormat="1" ht="13.5" customHeight="1">
      <c r="A46" s="954" t="s">
        <v>791</v>
      </c>
      <c r="B46" s="292" t="s">
        <v>2415</v>
      </c>
      <c r="C46" s="293">
        <f ca="1">ROUND((C33+C39)*F27,0)</f>
        <v>532</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3672</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3562</v>
      </c>
      <c r="D51" s="276"/>
      <c r="E51" s="276"/>
      <c r="F51" s="308"/>
      <c r="G51" s="278" t="s">
        <v>2426</v>
      </c>
    </row>
    <row r="52" spans="1:7" s="252" customFormat="1" ht="16.5" thickBot="1">
      <c r="A52" s="309" t="s">
        <v>2427</v>
      </c>
      <c r="B52" s="310"/>
      <c r="C52" s="311">
        <f ca="1">C31+C51</f>
        <v>7339</v>
      </c>
      <c r="D52" s="310"/>
      <c r="E52" s="310"/>
      <c r="F52" s="310"/>
      <c r="G52" s="312"/>
    </row>
    <row r="55" spans="1:7" ht="15">
      <c r="B55" s="314" t="s">
        <v>2428</v>
      </c>
      <c r="C55" s="315"/>
    </row>
    <row r="56" spans="1:7">
      <c r="B56" s="317" t="s">
        <v>1509</v>
      </c>
      <c r="C56" s="319">
        <f ca="1">1-C57</f>
        <v>0.51500000000000001</v>
      </c>
    </row>
    <row r="57" spans="1:7">
      <c r="B57" s="317" t="s">
        <v>1510</v>
      </c>
      <c r="C57" s="318">
        <f ca="1">ROUND(C51/C52,3)</f>
        <v>0.48499999999999999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3915</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5292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1035665</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1035665</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1035665</v>
      </c>
      <c r="D10" s="1035">
        <f ca="1">IF(B1="",'数据-汇总表'!E6,IF(INDIRECT("'数据-取费表'!c"&amp;$G$1)="住宅",INDIRECT("'数据-取费表'!s"&amp;$G$1),INDIRECT("'数据-取费表'!k"&amp;$G$1)+INDIRECT("'数据-取费表'!s"&amp;$G$1)))</f>
        <v>7397.6099999999988</v>
      </c>
      <c r="E10" s="269">
        <f>'数据-取费表'!B28</f>
        <v>140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1331570</v>
      </c>
      <c r="D19" s="1039">
        <f ca="1">D9+D10</f>
        <v>7397.6099999999988</v>
      </c>
      <c r="E19" s="255">
        <f>'数据-取费表'!B31</f>
        <v>180</v>
      </c>
      <c r="F19" s="275"/>
      <c r="G19" s="2557"/>
    </row>
    <row r="20" spans="1:7" s="258" customFormat="1" ht="13.5" customHeight="1">
      <c r="A20" s="299" t="s">
        <v>2440</v>
      </c>
      <c r="B20" s="254" t="s">
        <v>2441</v>
      </c>
      <c r="C20" s="276">
        <f ca="1">ROUND((C5+C19)*F20,0)</f>
        <v>47345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357020</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154703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198904</v>
      </c>
      <c r="D24" s="282"/>
      <c r="E24" s="282"/>
      <c r="F24" s="283"/>
      <c r="G24" s="284" t="s">
        <v>2452</v>
      </c>
    </row>
    <row r="25" spans="1:7" s="258" customFormat="1" ht="24">
      <c r="A25" s="954" t="s">
        <v>2342</v>
      </c>
      <c r="B25" s="259" t="s">
        <v>2453</v>
      </c>
      <c r="C25" s="1384">
        <f ca="1">ROUND(IF('数据-取费表'!B22&lt;=1,C20*F22*'数据-取费表'!B22/2,C20*(POWER((1+F22),'数据-取费表'!B22/2)-1)),0)</f>
        <v>3413</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482916</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482916</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3532526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26069178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23672352</v>
      </c>
      <c r="D34" s="261"/>
      <c r="E34" s="264"/>
      <c r="F34" s="301"/>
      <c r="G34" s="263"/>
    </row>
    <row r="35" spans="1:7" ht="13.5" customHeight="1">
      <c r="A35" s="954" t="s">
        <v>796</v>
      </c>
      <c r="B35" s="259" t="s">
        <v>2393</v>
      </c>
      <c r="C35" s="264">
        <f ca="1">ROUND(C34*F35,0)</f>
        <v>710171</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1331570</v>
      </c>
      <c r="D37" s="261">
        <f ca="1">D19</f>
        <v>7397.6099999999988</v>
      </c>
      <c r="E37" s="293">
        <f>'数据-取费表'!B35</f>
        <v>180</v>
      </c>
      <c r="F37" s="303"/>
      <c r="G37" s="305"/>
    </row>
    <row r="38" spans="1:7" ht="13.5" customHeight="1">
      <c r="A38" s="954" t="s">
        <v>799</v>
      </c>
      <c r="B38" s="259" t="s">
        <v>2399</v>
      </c>
      <c r="C38" s="264">
        <f ca="1">ROUND(C34*F38,0)</f>
        <v>355085</v>
      </c>
      <c r="D38" s="264"/>
      <c r="E38" s="264"/>
      <c r="F38" s="303">
        <f>'数据-取费表'!B36</f>
        <v>1.4999999999999999E-2</v>
      </c>
      <c r="G38" s="263" t="s">
        <v>2394</v>
      </c>
    </row>
    <row r="39" spans="1:7" s="258" customFormat="1" ht="13.5" customHeight="1">
      <c r="A39" s="299" t="s">
        <v>2400</v>
      </c>
      <c r="B39" s="254" t="s">
        <v>2401</v>
      </c>
      <c r="C39" s="276">
        <f ca="1">ROUND(C33*F20,0)</f>
        <v>521384</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1916900</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1879314</v>
      </c>
      <c r="D42" s="282"/>
      <c r="E42" s="282"/>
      <c r="F42" s="283"/>
      <c r="G42" s="3138" t="s">
        <v>2457</v>
      </c>
    </row>
    <row r="43" spans="1:7" ht="13.5" customHeight="1">
      <c r="A43" s="954" t="s">
        <v>792</v>
      </c>
      <c r="B43" s="259" t="s">
        <v>2411</v>
      </c>
      <c r="C43" s="282">
        <f ca="1">ROUND(IF('数据-取费表'!B22&lt;=1,C39*F22*'数据-取费表'!B20/2,C39*(POWER((1+F22),'数据-取费表'!B20/2)-1)),0)</f>
        <v>37586</v>
      </c>
      <c r="D43" s="282"/>
      <c r="E43" s="282"/>
      <c r="F43" s="283"/>
      <c r="G43" s="3139"/>
    </row>
    <row r="44" spans="1:7" ht="13.5" customHeight="1">
      <c r="A44" s="954" t="s">
        <v>793</v>
      </c>
      <c r="B44" s="259" t="s">
        <v>2412</v>
      </c>
      <c r="C44" s="282">
        <f ca="1">ROUND(IF('数据-取费表'!B22&lt;=1,C40*F22*'数据-取费表'!B20/2,C40*(POWER((1+F22),'数据-取费表'!B20/2)-1)),4)</f>
        <v>1.4E-3</v>
      </c>
      <c r="D44" s="282"/>
      <c r="E44" s="282"/>
      <c r="F44" s="283"/>
      <c r="G44" s="3140"/>
    </row>
    <row r="45" spans="1:7" s="258" customFormat="1" ht="13.5" customHeight="1">
      <c r="A45" s="299" t="s">
        <v>2413</v>
      </c>
      <c r="B45" s="288" t="s">
        <v>2379</v>
      </c>
      <c r="C45" s="289">
        <f ca="1">C46</f>
        <v>5318112</v>
      </c>
      <c r="D45" s="279">
        <f ca="1">C47</f>
        <v>4.0000000000000001E-3</v>
      </c>
      <c r="E45" s="280" t="s">
        <v>2405</v>
      </c>
      <c r="F45" s="290"/>
      <c r="G45" s="291" t="s">
        <v>2414</v>
      </c>
    </row>
    <row r="46" spans="1:7" s="258" customFormat="1" ht="13.5" customHeight="1">
      <c r="A46" s="954" t="s">
        <v>791</v>
      </c>
      <c r="B46" s="292" t="s">
        <v>2415</v>
      </c>
      <c r="C46" s="293">
        <f ca="1">ROUND((C33+C39)*F27,0)</f>
        <v>5318112</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36715048</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35613597</v>
      </c>
      <c r="D51" s="276"/>
      <c r="E51" s="276"/>
      <c r="F51" s="308"/>
      <c r="G51" s="278" t="s">
        <v>2426</v>
      </c>
    </row>
    <row r="52" spans="1:7" s="252" customFormat="1" ht="16.5" thickBot="1">
      <c r="A52" s="309" t="s">
        <v>2427</v>
      </c>
      <c r="B52" s="310"/>
      <c r="C52" s="311">
        <f ca="1">C31+C51</f>
        <v>39146123</v>
      </c>
      <c r="D52" s="310"/>
      <c r="E52" s="310"/>
      <c r="F52" s="310"/>
      <c r="G52" s="312"/>
    </row>
    <row r="55" spans="1:7" ht="15">
      <c r="B55" s="314" t="s">
        <v>2428</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-123</v>
      </c>
      <c r="C2" s="320" t="s">
        <v>2461</v>
      </c>
      <c r="D2" s="320"/>
      <c r="E2" s="320"/>
      <c r="F2" s="320"/>
      <c r="G2" s="320"/>
      <c r="H2" s="320"/>
      <c r="I2" s="320"/>
      <c r="J2" s="320"/>
      <c r="K2" s="320"/>
    </row>
    <row r="3" spans="1:33" ht="18" customHeight="1" thickBot="1">
      <c r="A3" s="247" t="s">
        <v>2330</v>
      </c>
      <c r="B3" s="248">
        <f ca="1">ROUND(B2*10000/IF(C1="",'数据-汇总表'!E3,INDIRECT("'数据-取费表'!K"&amp;$K$1)),0)</f>
        <v>-166</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7397.6099999999988</v>
      </c>
      <c r="E14" s="24">
        <f>'数据-取费表'!B35</f>
        <v>180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7397.6099999999988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104</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104</v>
      </c>
      <c r="D20" s="1036">
        <f ca="1">IF(C1="",'数据-汇总表'!E6,IF(INDIRECT("'数据-取费表'!c"&amp;$K$1)="住宅",INDIRECT("'数据-取费表'!s"&amp;$K$1),INDIRECT("'数据-取费表'!k"&amp;$K$1)+INDIRECT("'数据-取费表'!s"&amp;$K$1)))</f>
        <v>7397.6099999999988</v>
      </c>
      <c r="E20" s="24">
        <f>'数据-取费表'!B28</f>
        <v>140</v>
      </c>
      <c r="F20" s="979"/>
      <c r="G20" s="15"/>
      <c r="H20" s="984"/>
      <c r="I20" s="984"/>
      <c r="J20" s="984"/>
      <c r="K20" s="985"/>
    </row>
    <row r="21" spans="1:33" s="978" customFormat="1" ht="13.5" customHeight="1">
      <c r="A21" s="964" t="s">
        <v>802</v>
      </c>
      <c r="B21" s="988" t="s">
        <v>2497</v>
      </c>
      <c r="C21" s="989">
        <f ca="1">C16+C17+C18</f>
        <v>104</v>
      </c>
      <c r="D21" s="990"/>
      <c r="E21" s="325"/>
      <c r="F21" s="325"/>
      <c r="G21" s="140" t="s">
        <v>2498</v>
      </c>
      <c r="H21" s="982"/>
      <c r="I21" s="982"/>
      <c r="J21" s="982"/>
      <c r="K21" s="983"/>
    </row>
    <row r="22" spans="1:33" s="978" customFormat="1" ht="13.5" customHeight="1">
      <c r="A22" s="964" t="s">
        <v>2470</v>
      </c>
      <c r="B22" s="988" t="s">
        <v>2499</v>
      </c>
      <c r="C22" s="989">
        <f ca="1">ROUND(C21*F22,0)</f>
        <v>2</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21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-123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H38" sqref="H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8181</v>
      </c>
      <c r="C2" s="1848" t="s">
        <v>1512</v>
      </c>
      <c r="D2" s="1848"/>
      <c r="E2" s="1849"/>
      <c r="F2" s="1850"/>
      <c r="G2" s="1851"/>
      <c r="H2" s="1843"/>
      <c r="I2" s="1843"/>
      <c r="J2" s="1843"/>
      <c r="K2" s="1844"/>
      <c r="L2" s="1843"/>
      <c r="M2" s="1843"/>
    </row>
    <row r="3" spans="1:37" ht="18" customHeight="1" thickBot="1">
      <c r="A3" s="1852" t="s">
        <v>1513</v>
      </c>
      <c r="B3" s="1853">
        <f ca="1">IF(ISERROR(B2*10000/F43),0,ROUND(B2*10000/F43,0))</f>
        <v>11059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560</v>
      </c>
      <c r="D5" s="1825" t="s">
        <v>1398</v>
      </c>
      <c r="E5" s="1296"/>
      <c r="F5" s="1297"/>
      <c r="G5" s="1854"/>
      <c r="H5" s="344">
        <v>1</v>
      </c>
      <c r="I5" s="345" t="s">
        <v>1397</v>
      </c>
      <c r="J5" s="1295">
        <f ca="1">J6+J10+J12</f>
        <v>0</v>
      </c>
      <c r="K5" s="1825" t="s">
        <v>1398</v>
      </c>
      <c r="L5" s="1296"/>
      <c r="M5" s="1297"/>
    </row>
    <row r="6" spans="1:37" ht="18" customHeight="1">
      <c r="A6" s="1294" t="s">
        <v>1032</v>
      </c>
      <c r="B6" s="3143" t="s">
        <v>1399</v>
      </c>
      <c r="C6" s="1299">
        <f ca="1">ROUND(F6*F8*F7*(1-F9)/10000,0)</f>
        <v>559</v>
      </c>
      <c r="D6" s="164" t="s">
        <v>3035</v>
      </c>
      <c r="E6" s="347" t="s">
        <v>1401</v>
      </c>
      <c r="F6" s="348">
        <f ca="1">INDIRECT("'数据-取费表'!u"&amp;$G$1)</f>
        <v>2.2999999999999998</v>
      </c>
      <c r="G6" s="1854"/>
      <c r="H6" s="1294" t="s">
        <v>1032</v>
      </c>
      <c r="I6" s="3143" t="s">
        <v>1399</v>
      </c>
      <c r="J6" s="346">
        <f ca="1">ROUND(M6*M8*M7*(1-M9)/10000,0)</f>
        <v>0</v>
      </c>
      <c r="K6" s="164" t="s">
        <v>3034</v>
      </c>
      <c r="L6" s="347" t="s">
        <v>1401</v>
      </c>
      <c r="M6" s="348">
        <f ca="1">INDIRECT("'数据-取费表'!z"&amp;$G$1)</f>
        <v>0</v>
      </c>
    </row>
    <row r="7" spans="1:37" ht="18" customHeight="1">
      <c r="A7" s="1298"/>
      <c r="B7" s="3144"/>
      <c r="C7" s="1300"/>
      <c r="D7" s="352"/>
      <c r="E7" s="1301" t="s">
        <v>1402</v>
      </c>
      <c r="F7" s="348">
        <f ca="1">IF(INDIRECT("'数据-取费表'!ah"&amp;$G$1)="",INDIRECT("'数据-取费表'!k"&amp;$G$1),INDIRECT("'数据-取费表'!ah"&amp;$G$1))</f>
        <v>7397.6099999999988</v>
      </c>
      <c r="G7" s="1854"/>
      <c r="H7" s="349"/>
      <c r="I7" s="3144"/>
      <c r="J7" s="351"/>
      <c r="K7" s="352"/>
      <c r="L7" s="347" t="s">
        <v>1402</v>
      </c>
      <c r="M7" s="348">
        <f ca="1">F7</f>
        <v>7397.6099999999988</v>
      </c>
    </row>
    <row r="8" spans="1:37" ht="18" customHeight="1">
      <c r="A8" s="349"/>
      <c r="B8" s="3144"/>
      <c r="C8" s="351"/>
      <c r="D8" s="352"/>
      <c r="E8" s="347" t="s">
        <v>1403</v>
      </c>
      <c r="F8" s="348">
        <f ca="1">INDIRECT("'数据-取费表'!ai"&amp;$G$1)</f>
        <v>365</v>
      </c>
      <c r="G8" s="1854"/>
      <c r="H8" s="349"/>
      <c r="I8" s="3144"/>
      <c r="J8" s="351"/>
      <c r="K8" s="352"/>
      <c r="L8" s="347" t="s">
        <v>1403</v>
      </c>
      <c r="M8" s="348">
        <f ca="1">INDIRECT("'数据-取费表'!ai"&amp;$G$1)</f>
        <v>365</v>
      </c>
    </row>
    <row r="9" spans="1:37" ht="18" customHeight="1">
      <c r="A9" s="349"/>
      <c r="B9" s="3145"/>
      <c r="C9" s="351"/>
      <c r="D9" s="352"/>
      <c r="E9" s="347" t="s">
        <v>1404</v>
      </c>
      <c r="F9" s="357">
        <f ca="1">INDIRECT("'数据-取费表'!w"&amp;$G$1)</f>
        <v>0.1</v>
      </c>
      <c r="G9" s="1854"/>
      <c r="H9" s="349"/>
      <c r="I9" s="3145"/>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3044</v>
      </c>
      <c r="E10" s="358" t="s">
        <v>1406</v>
      </c>
      <c r="F10" s="1369" t="s">
        <v>3069</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3562</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2367</v>
      </c>
      <c r="D14" s="1803" t="s">
        <v>1414</v>
      </c>
      <c r="E14" s="1797"/>
      <c r="F14" s="364"/>
      <c r="G14" s="1854"/>
      <c r="H14" s="1204" t="s">
        <v>1032</v>
      </c>
      <c r="I14" s="347" t="s">
        <v>1415</v>
      </c>
      <c r="J14" s="24">
        <f ca="1">C29</f>
        <v>3672</v>
      </c>
      <c r="K14" s="15"/>
      <c r="L14" s="982"/>
      <c r="M14" s="983"/>
    </row>
    <row r="15" spans="1:37" s="1861" customFormat="1" ht="18" customHeight="1" thickBot="1">
      <c r="A15" s="1204" t="s">
        <v>1033</v>
      </c>
      <c r="B15" s="347" t="s">
        <v>1416</v>
      </c>
      <c r="C15" s="24">
        <f ca="1">ROUND(C14*F15,0)</f>
        <v>71</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93</v>
      </c>
      <c r="K16" s="1340" t="s">
        <v>1421</v>
      </c>
      <c r="L16" s="1341"/>
      <c r="M16" s="1297"/>
    </row>
    <row r="17" spans="1:37" s="1861" customFormat="1" ht="18" customHeight="1">
      <c r="A17" s="1204" t="s">
        <v>1386</v>
      </c>
      <c r="B17" s="347" t="s">
        <v>1422</v>
      </c>
      <c r="C17" s="24">
        <f ca="1">ROUND(F17*(F43+INDIRECT("'数据-取费表'!S"&amp;$G$1))/10000,0)</f>
        <v>133</v>
      </c>
      <c r="D17" s="347" t="s">
        <v>1423</v>
      </c>
      <c r="E17" s="347" t="s">
        <v>1424</v>
      </c>
      <c r="F17" s="26">
        <f>'数据-取费表'!B35</f>
        <v>180</v>
      </c>
      <c r="G17" s="1857"/>
      <c r="H17" s="1204" t="s">
        <v>1032</v>
      </c>
      <c r="I17" s="347" t="s">
        <v>1425</v>
      </c>
      <c r="J17" s="24">
        <f ca="1">ROUND(IF(项目基本情况!B11="自然人",J5*M17,J18+J19+J20),1)</f>
        <v>38.1</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2607</v>
      </c>
      <c r="D19" s="140" t="s">
        <v>1432</v>
      </c>
      <c r="E19" s="1821"/>
      <c r="F19" s="26"/>
      <c r="G19" s="1854"/>
      <c r="H19" s="1204" t="s">
        <v>1033</v>
      </c>
      <c r="I19" s="347" t="s">
        <v>1433</v>
      </c>
      <c r="J19" s="24">
        <f ca="1">IF(K19="按租金收入计税",ROUND(J5*M19,2),ROUND(C29*M19*0.7,2))</f>
        <v>30.84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52</v>
      </c>
      <c r="D20" s="369" t="s">
        <v>1436</v>
      </c>
      <c r="E20" s="347" t="s">
        <v>1418</v>
      </c>
      <c r="F20" s="367">
        <f>'数据-取费表'!B37</f>
        <v>0.02</v>
      </c>
      <c r="G20" s="1857"/>
      <c r="H20" s="1204" t="s">
        <v>1385</v>
      </c>
      <c r="I20" s="164" t="s">
        <v>1437</v>
      </c>
      <c r="J20" s="25">
        <f ca="1">ROUND(M20*M21/10000,2)</f>
        <v>7.3</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14597.18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55.1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192</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-93</v>
      </c>
      <c r="K25" s="1348" t="s">
        <v>1460</v>
      </c>
      <c r="L25" s="1349"/>
      <c r="M25" s="1350"/>
    </row>
    <row r="26" spans="1:37">
      <c r="A26" s="1204" t="s">
        <v>1031</v>
      </c>
      <c r="B26" s="347" t="s">
        <v>1461</v>
      </c>
      <c r="C26" s="24">
        <f ca="1">ROUND((C19+C20)*F26,0)</f>
        <v>532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3672</v>
      </c>
      <c r="D29" s="1345"/>
      <c r="E29" s="1343"/>
      <c r="F29" s="1346"/>
      <c r="G29" s="1857"/>
      <c r="H29" s="380" t="s">
        <v>1030</v>
      </c>
      <c r="I29" s="381" t="s">
        <v>1475</v>
      </c>
      <c r="J29" s="382">
        <f ca="1">ROUND(J26/(1+F40)^F41,0)</f>
        <v>0</v>
      </c>
      <c r="K29" s="383" t="s">
        <v>1476</v>
      </c>
      <c r="L29" s="384"/>
      <c r="M29" s="385">
        <f ca="1">INDIRECT("'数据-取费表'!k"&amp;$G$1)</f>
        <v>7397.6099999999988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170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104.4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29.87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67.2</v>
      </c>
      <c r="D33" s="1831" t="s">
        <v>3068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7.3</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14597.18</v>
      </c>
      <c r="G35" s="1854"/>
      <c r="H35" s="745"/>
      <c r="I35" s="1863"/>
      <c r="J35" s="1864"/>
      <c r="K35" s="1865"/>
      <c r="L35" s="1862"/>
      <c r="M35" s="1862"/>
    </row>
    <row r="36" spans="1:18" ht="18" customHeight="1">
      <c r="A36" s="1355" t="s">
        <v>1036</v>
      </c>
      <c r="B36" s="347" t="s">
        <v>1445</v>
      </c>
      <c r="C36" s="24">
        <f ca="1">ROUND(C29*F36,1)</f>
        <v>55.1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5.6</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390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8181</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11059</v>
      </c>
      <c r="D43" s="383" t="s">
        <v>1484</v>
      </c>
      <c r="E43" s="384" t="s">
        <v>1485</v>
      </c>
      <c r="F43" s="385">
        <f ca="1">INDIRECT("'数据-取费表'!k"&amp;$G$1)</f>
        <v>7397.6099999999988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-13934</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8181</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v>2017</v>
      </c>
      <c r="K49" s="1892" t="s">
        <v>1531</v>
      </c>
      <c r="L49" s="1896"/>
      <c r="O49" s="1897" t="s">
        <v>1039</v>
      </c>
      <c r="P49" s="1888" t="s">
        <v>1532</v>
      </c>
      <c r="Q49" s="1889">
        <f ca="1">C29</f>
        <v>3672</v>
      </c>
      <c r="R49" s="1889" t="s">
        <v>1525</v>
      </c>
    </row>
    <row r="50" spans="1:18" s="1845" customFormat="1" ht="13.5" thickBot="1">
      <c r="A50" s="1198"/>
      <c r="B50" s="1201"/>
      <c r="C50" s="1371"/>
      <c r="D50" s="1175"/>
      <c r="E50" s="1280" t="s">
        <v>1402</v>
      </c>
      <c r="F50" s="1281">
        <f ca="1">F7</f>
        <v>7397.6099999999988</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78</v>
      </c>
      <c r="K51" s="1903" t="s">
        <v>1537</v>
      </c>
      <c r="L51" s="1904">
        <f ca="1">ROUND(-PV(INDIRECT("'数据-取费表'!h"&amp;$G$1),L48,(C39-C13*C76),0),0)</f>
        <v>1709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141" t="s">
        <v>1544</v>
      </c>
      <c r="L53" s="3142"/>
      <c r="O53" s="1887" t="s">
        <v>1043</v>
      </c>
      <c r="P53" s="1888" t="s">
        <v>1545</v>
      </c>
      <c r="Q53" s="1889">
        <f ca="1">Q47+Q48</f>
        <v>8181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3562</v>
      </c>
      <c r="D56" s="1917"/>
      <c r="E56" s="1918"/>
      <c r="F56" s="1910"/>
      <c r="I56" s="1919" t="s">
        <v>1550</v>
      </c>
      <c r="J56" s="1920" t="s">
        <v>3062</v>
      </c>
      <c r="K56" s="1890" t="s">
        <v>1551</v>
      </c>
      <c r="L56" s="1893" t="str">
        <f ca="1">IF(L48&lt;J51,"——",L48-J53)</f>
        <v>——</v>
      </c>
      <c r="O56" s="1887" t="s">
        <v>1037</v>
      </c>
      <c r="P56" s="1888" t="s">
        <v>1524</v>
      </c>
      <c r="Q56" s="1889">
        <f ca="1">C40+J29</f>
        <v>8181</v>
      </c>
      <c r="R56" s="1889" t="s">
        <v>1525</v>
      </c>
    </row>
    <row r="57" spans="1:18" s="1845" customFormat="1" ht="24.75" thickBot="1">
      <c r="A57" s="1921"/>
      <c r="B57" s="1172" t="s">
        <v>1474</v>
      </c>
      <c r="C57" s="282">
        <f ca="1">C29</f>
        <v>3672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376</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315.8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308.45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7.3</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8181</v>
      </c>
      <c r="R62" s="1889" t="s">
        <v>1044</v>
      </c>
    </row>
    <row r="63" spans="1:18" s="1845" customFormat="1" ht="13.5" thickBot="1">
      <c r="A63" s="372"/>
      <c r="B63" s="1178"/>
      <c r="C63" s="29"/>
      <c r="D63" s="1188"/>
      <c r="E63" s="1172" t="s">
        <v>1495</v>
      </c>
      <c r="F63" s="348">
        <f t="shared" ca="1" si="0"/>
        <v>14597.18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55.1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5.3</v>
      </c>
      <c r="D65" s="1186" t="s">
        <v>1450</v>
      </c>
      <c r="E65" s="1172" t="s">
        <v>1451</v>
      </c>
      <c r="F65" s="376">
        <f t="shared" ca="1" si="0"/>
        <v>1.5E-3</v>
      </c>
      <c r="I65" s="1932" t="s">
        <v>1575</v>
      </c>
      <c r="J65" s="1933">
        <v>40</v>
      </c>
      <c r="K65" s="1933">
        <v>30</v>
      </c>
      <c r="L65" s="1933">
        <v>50</v>
      </c>
      <c r="M65" s="1935">
        <v>0.02</v>
      </c>
      <c r="O65" s="1887" t="s">
        <v>1037</v>
      </c>
      <c r="P65" s="1888" t="s">
        <v>1576</v>
      </c>
      <c r="Q65" s="1889">
        <f ca="1">C40+J29</f>
        <v>8181</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-376</v>
      </c>
      <c r="D67" s="1185" t="s">
        <v>1460</v>
      </c>
      <c r="E67" s="1190"/>
      <c r="F67" s="1191"/>
      <c r="O67" s="1897" t="s">
        <v>1039</v>
      </c>
      <c r="P67" s="1888" t="s">
        <v>1558</v>
      </c>
      <c r="Q67" s="1936">
        <f ca="1">L51</f>
        <v>1709</v>
      </c>
      <c r="R67" s="1889" t="s">
        <v>1578</v>
      </c>
    </row>
    <row r="68" spans="1:18" s="1845" customFormat="1" ht="16.5" thickBot="1">
      <c r="A68" s="1169" t="s">
        <v>1029</v>
      </c>
      <c r="B68" s="1170" t="s">
        <v>1481</v>
      </c>
      <c r="C68" s="346">
        <f ca="1">ROUND(C67*(1-((1+F70)/(1+F68))^F69)/(F68-F70),0)</f>
        <v>-5753</v>
      </c>
      <c r="D68" s="1187" t="s">
        <v>1465</v>
      </c>
      <c r="E68" s="1172" t="s">
        <v>1466</v>
      </c>
      <c r="F68" s="357">
        <f ca="1">F40</f>
        <v>5.5E-2</v>
      </c>
      <c r="O68" s="1897" t="s">
        <v>1040</v>
      </c>
      <c r="P68" s="1937" t="s">
        <v>1579</v>
      </c>
      <c r="Q68" s="1889">
        <f ca="1">ROUND(Q69-Q70*Q71,0)</f>
        <v>105</v>
      </c>
      <c r="R68" s="1889" t="s">
        <v>1048</v>
      </c>
    </row>
    <row r="69" spans="1:18" s="1845" customFormat="1" ht="13.5" thickBot="1">
      <c r="A69" s="1173"/>
      <c r="B69" s="1174"/>
      <c r="C69" s="351"/>
      <c r="D69" s="1192" t="s">
        <v>1469</v>
      </c>
      <c r="E69" s="1172" t="s">
        <v>1470</v>
      </c>
      <c r="F69" s="379">
        <f ca="1">F41</f>
        <v>34.4</v>
      </c>
      <c r="O69" s="1897" t="s">
        <v>1045</v>
      </c>
      <c r="P69" s="1937" t="s">
        <v>1580</v>
      </c>
      <c r="Q69" s="1889">
        <f ca="1">C39</f>
        <v>390</v>
      </c>
      <c r="R69" s="1889" t="s">
        <v>1525</v>
      </c>
    </row>
    <row r="70" spans="1:18" s="1845" customFormat="1" ht="13.5" thickBot="1">
      <c r="A70" s="1176"/>
      <c r="B70" s="1177"/>
      <c r="C70" s="355"/>
      <c r="D70" s="1188"/>
      <c r="E70" s="1172" t="s">
        <v>1473</v>
      </c>
      <c r="F70" s="1278"/>
      <c r="O70" s="1897" t="s">
        <v>1046</v>
      </c>
      <c r="P70" s="1937" t="s">
        <v>1581</v>
      </c>
      <c r="Q70" s="1889">
        <f ca="1">C13</f>
        <v>3562</v>
      </c>
      <c r="R70" s="1889" t="s">
        <v>1525</v>
      </c>
    </row>
    <row r="71" spans="1:18" s="1845" customFormat="1" ht="13.5" thickBot="1">
      <c r="A71" s="1193" t="s">
        <v>1030</v>
      </c>
      <c r="B71" s="1194" t="s">
        <v>1483</v>
      </c>
      <c r="C71" s="382">
        <f ca="1">ROUND(C68*10000/F71,0)</f>
        <v>-7777</v>
      </c>
      <c r="D71" s="1195" t="s">
        <v>1484</v>
      </c>
      <c r="E71" s="1196" t="s">
        <v>1485</v>
      </c>
      <c r="F71" s="385">
        <f ca="1">F43</f>
        <v>7397.6099999999988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285</v>
      </c>
      <c r="D75" s="1845"/>
      <c r="E75" s="1845"/>
      <c r="F75" s="1845"/>
      <c r="K75" s="1871"/>
      <c r="L75" s="1845"/>
      <c r="O75" s="1887" t="s">
        <v>1043</v>
      </c>
      <c r="P75" s="1888" t="s">
        <v>1545</v>
      </c>
      <c r="Q75" s="1889">
        <f ca="1">Q65+Q66</f>
        <v>8181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0.26900000000000002</v>
      </c>
    </row>
    <row r="80" spans="1:18">
      <c r="B80" s="386" t="s">
        <v>1507</v>
      </c>
      <c r="C80" s="318">
        <f ca="1">ROUND(C75/C39,3)</f>
        <v>0.73099999999999998</v>
      </c>
    </row>
    <row r="81" spans="2:3">
      <c r="B81" s="314" t="s">
        <v>1508</v>
      </c>
      <c r="C81" s="282"/>
    </row>
    <row r="82" spans="2:3">
      <c r="B82" s="317" t="s">
        <v>1509</v>
      </c>
      <c r="C82" s="319">
        <f ca="1">1-C83</f>
        <v>0.56499999999999995</v>
      </c>
    </row>
    <row r="83" spans="2:3">
      <c r="B83" s="317" t="s">
        <v>1510</v>
      </c>
      <c r="C83" s="318">
        <f ca="1">ROUND(C13/C40,3)</f>
        <v>0.435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3" t="s">
        <v>1399</v>
      </c>
      <c r="C6" s="1299">
        <f ca="1">ROUND(F6*F8*F7*(1-F9),0)</f>
        <v>0</v>
      </c>
      <c r="D6" s="164" t="s">
        <v>3032</v>
      </c>
      <c r="E6" s="347" t="s">
        <v>1401</v>
      </c>
      <c r="F6" s="348">
        <f ca="1">INDIRECT("'数据-取费表'!u"&amp;$G$1)</f>
        <v>0</v>
      </c>
      <c r="G6" s="1854"/>
      <c r="H6" s="1294" t="s">
        <v>1032</v>
      </c>
      <c r="I6" s="3143" t="s">
        <v>1399</v>
      </c>
      <c r="J6" s="346">
        <f ca="1">ROUND(M6*M8*M7*(1-M9),0)</f>
        <v>0</v>
      </c>
      <c r="K6" s="1837" t="s">
        <v>3033</v>
      </c>
      <c r="L6" s="347" t="s">
        <v>1401</v>
      </c>
      <c r="M6" s="348">
        <f ca="1">INDIRECT("'数据-取费表'!z"&amp;$G$1)</f>
        <v>0</v>
      </c>
    </row>
    <row r="7" spans="1:37" ht="18" customHeight="1">
      <c r="A7" s="1298"/>
      <c r="B7" s="3144"/>
      <c r="C7" s="1300"/>
      <c r="D7" s="352"/>
      <c r="E7" s="1301" t="s">
        <v>1402</v>
      </c>
      <c r="F7" s="348">
        <f ca="1">IF(INDIRECT("'数据-取费表'!ah"&amp;$G$1)="",INDIRECT("'数据-取费表'!k"&amp;$G$1),INDIRECT("'数据-取费表'!ah"&amp;$G$1))</f>
        <v>0</v>
      </c>
      <c r="G7" s="1854"/>
      <c r="H7" s="349"/>
      <c r="I7" s="3144"/>
      <c r="J7" s="351"/>
      <c r="K7" s="352"/>
      <c r="L7" s="347" t="s">
        <v>1402</v>
      </c>
      <c r="M7" s="348">
        <f ca="1">F7</f>
        <v>0</v>
      </c>
    </row>
    <row r="8" spans="1:37" ht="18" customHeight="1">
      <c r="A8" s="349"/>
      <c r="B8" s="3144"/>
      <c r="C8" s="351"/>
      <c r="D8" s="352"/>
      <c r="E8" s="347" t="s">
        <v>1403</v>
      </c>
      <c r="F8" s="348">
        <f ca="1">INDIRECT("'数据-取费表'!ai"&amp;$G$1)</f>
        <v>0</v>
      </c>
      <c r="G8" s="1854"/>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4"/>
      <c r="H9" s="349"/>
      <c r="I9" s="314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1" t="s">
        <v>1544</v>
      </c>
      <c r="L53" s="314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8181</v>
      </c>
      <c r="C2" s="2573" t="s">
        <v>2520</v>
      </c>
      <c r="D2" s="2574" t="s">
        <v>2521</v>
      </c>
      <c r="E2" s="2575">
        <f>SUM(E6:E13)</f>
        <v>7397.6099999999988</v>
      </c>
    </row>
    <row r="3" spans="1:6" ht="15.75">
      <c r="A3" s="2571" t="s">
        <v>1391</v>
      </c>
      <c r="B3" s="2572">
        <f ca="1">ROUND(B2*10000/E2,0)</f>
        <v>11059</v>
      </c>
      <c r="C3" s="2573" t="s">
        <v>2528</v>
      </c>
      <c r="D3" s="2576"/>
      <c r="E3" s="2577"/>
    </row>
    <row r="4" spans="1:6" ht="15.75">
      <c r="A4" s="2578"/>
      <c r="B4" s="2576"/>
      <c r="C4" s="2576"/>
      <c r="D4" s="2576"/>
      <c r="E4" s="2577"/>
    </row>
    <row r="5" spans="1:6" ht="15">
      <c r="A5" s="2579" t="s">
        <v>2522</v>
      </c>
      <c r="B5" s="3146" t="s">
        <v>2523</v>
      </c>
      <c r="C5" s="3146"/>
      <c r="D5" s="2580"/>
      <c r="E5" s="2581" t="s">
        <v>2524</v>
      </c>
      <c r="F5" s="2582" t="s">
        <v>2525</v>
      </c>
    </row>
    <row r="6" spans="1:6">
      <c r="A6" s="2583" t="str">
        <f>'数据-取费表'!AN6</f>
        <v>收益法</v>
      </c>
      <c r="B6" s="2582">
        <f ca="1">IF(F6="是",'数据-取费表'!AO6,0)</f>
        <v>8181</v>
      </c>
      <c r="C6" s="2573" t="s">
        <v>2520</v>
      </c>
      <c r="D6" s="2576"/>
      <c r="E6" s="2584">
        <f>IF(OR(A6=0,F6="否"),0,'数据-取费表'!K6+'数据-取费表'!S6)</f>
        <v>7397.6099999999988</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7" t="s">
        <v>1073</v>
      </c>
      <c r="B1" s="3148"/>
      <c r="C1" s="3149"/>
      <c r="D1" s="3150">
        <f>SUM(I10,I15,I20,I21,I23)</f>
        <v>0</v>
      </c>
      <c r="E1" s="3150"/>
      <c r="F1" s="3150"/>
      <c r="G1" s="3150"/>
      <c r="H1" s="3150"/>
      <c r="I1" s="3151"/>
    </row>
    <row r="2" spans="1:9">
      <c r="A2" s="3152" t="s">
        <v>1074</v>
      </c>
      <c r="B2" s="3153" t="s">
        <v>1075</v>
      </c>
      <c r="C2" s="3153"/>
      <c r="D2" s="1304" t="s">
        <v>1076</v>
      </c>
      <c r="E2" s="1304" t="s">
        <v>1077</v>
      </c>
      <c r="F2" s="1304" t="s">
        <v>1078</v>
      </c>
      <c r="G2" s="1304" t="s">
        <v>1079</v>
      </c>
      <c r="H2" s="1304" t="s">
        <v>1080</v>
      </c>
      <c r="I2" s="1305" t="s">
        <v>1081</v>
      </c>
    </row>
    <row r="3" spans="1:9">
      <c r="A3" s="3152"/>
      <c r="B3" s="3153" t="s">
        <v>1082</v>
      </c>
      <c r="C3" s="3153"/>
      <c r="D3" s="1306"/>
      <c r="E3" s="1304"/>
      <c r="F3" s="1307"/>
      <c r="G3" s="1307"/>
      <c r="H3" s="1308"/>
      <c r="I3" s="1309">
        <f>ROUND(D3*E3*F3*G3*H3/10000,0)</f>
        <v>0</v>
      </c>
    </row>
    <row r="4" spans="1:9">
      <c r="A4" s="3152"/>
      <c r="B4" s="3153" t="s">
        <v>1083</v>
      </c>
      <c r="C4" s="3153"/>
      <c r="D4" s="1306"/>
      <c r="E4" s="1304"/>
      <c r="F4" s="1307"/>
      <c r="G4" s="1307"/>
      <c r="H4" s="1308"/>
      <c r="I4" s="1309">
        <f t="shared" ref="I4:I9" si="0">ROUND(D4*E4*F4*G4*H4/10000,0)</f>
        <v>0</v>
      </c>
    </row>
    <row r="5" spans="1:9">
      <c r="A5" s="3152"/>
      <c r="B5" s="3153" t="s">
        <v>1084</v>
      </c>
      <c r="C5" s="3153"/>
      <c r="D5" s="1306"/>
      <c r="E5" s="1304"/>
      <c r="F5" s="1307"/>
      <c r="G5" s="1307"/>
      <c r="H5" s="1308"/>
      <c r="I5" s="1309">
        <f t="shared" si="0"/>
        <v>0</v>
      </c>
    </row>
    <row r="6" spans="1:9">
      <c r="A6" s="3152"/>
      <c r="B6" s="3153" t="s">
        <v>1085</v>
      </c>
      <c r="C6" s="3153"/>
      <c r="D6" s="1306"/>
      <c r="E6" s="1304"/>
      <c r="F6" s="1307"/>
      <c r="G6" s="1307"/>
      <c r="H6" s="1308"/>
      <c r="I6" s="1309">
        <f t="shared" si="0"/>
        <v>0</v>
      </c>
    </row>
    <row r="7" spans="1:9">
      <c r="A7" s="3152"/>
      <c r="B7" s="3153" t="s">
        <v>1086</v>
      </c>
      <c r="C7" s="3153"/>
      <c r="D7" s="1306"/>
      <c r="E7" s="1304"/>
      <c r="F7" s="1307"/>
      <c r="G7" s="1307"/>
      <c r="H7" s="1308"/>
      <c r="I7" s="1309">
        <f t="shared" si="0"/>
        <v>0</v>
      </c>
    </row>
    <row r="8" spans="1:9">
      <c r="A8" s="3152"/>
      <c r="B8" s="3153" t="s">
        <v>1087</v>
      </c>
      <c r="C8" s="3153"/>
      <c r="D8" s="1306"/>
      <c r="E8" s="1304"/>
      <c r="F8" s="1307"/>
      <c r="G8" s="1307"/>
      <c r="H8" s="1308"/>
      <c r="I8" s="1309">
        <f t="shared" si="0"/>
        <v>0</v>
      </c>
    </row>
    <row r="9" spans="1:9">
      <c r="A9" s="3152"/>
      <c r="B9" s="3153" t="s">
        <v>1088</v>
      </c>
      <c r="C9" s="3153"/>
      <c r="D9" s="1306"/>
      <c r="E9" s="1304"/>
      <c r="F9" s="1307"/>
      <c r="G9" s="1307"/>
      <c r="H9" s="1308"/>
      <c r="I9" s="1309">
        <f t="shared" si="0"/>
        <v>0</v>
      </c>
    </row>
    <row r="10" spans="1:9">
      <c r="A10" s="3152"/>
      <c r="B10" s="3154" t="s">
        <v>1089</v>
      </c>
      <c r="C10" s="3154"/>
      <c r="D10" s="1310"/>
      <c r="E10" s="1310" t="e">
        <f>ROUND(D1*10000/D10/H9,0)</f>
        <v>#DIV/0!</v>
      </c>
      <c r="F10" s="1311"/>
      <c r="G10" s="1311"/>
      <c r="H10" s="1312"/>
      <c r="I10" s="1313">
        <f>SUM(I3:I9)</f>
        <v>0</v>
      </c>
    </row>
    <row r="11" spans="1:9" ht="14.25">
      <c r="A11" s="3152" t="s">
        <v>1090</v>
      </c>
      <c r="B11" s="3153" t="s">
        <v>1091</v>
      </c>
      <c r="C11" s="3153"/>
      <c r="D11" s="1306" t="s">
        <v>1092</v>
      </c>
      <c r="E11" s="1306" t="s">
        <v>1093</v>
      </c>
      <c r="F11" s="1307" t="s">
        <v>1094</v>
      </c>
      <c r="G11" s="1307" t="s">
        <v>1080</v>
      </c>
      <c r="H11" s="1314" t="s">
        <v>1095</v>
      </c>
      <c r="I11" s="1305" t="s">
        <v>1081</v>
      </c>
    </row>
    <row r="12" spans="1:9">
      <c r="A12" s="3152"/>
      <c r="B12" s="3153" t="s">
        <v>1096</v>
      </c>
      <c r="C12" s="3153"/>
      <c r="D12" s="1306"/>
      <c r="E12" s="1306"/>
      <c r="F12" s="1307"/>
      <c r="G12" s="1308"/>
      <c r="H12" s="1315"/>
      <c r="I12" s="1305">
        <f>ROUND(D12*E12*F12*G12/10000,0)</f>
        <v>0</v>
      </c>
    </row>
    <row r="13" spans="1:9">
      <c r="A13" s="3152"/>
      <c r="B13" s="3153" t="s">
        <v>1097</v>
      </c>
      <c r="C13" s="3153"/>
      <c r="D13" s="1306"/>
      <c r="E13" s="1306"/>
      <c r="F13" s="1307"/>
      <c r="G13" s="1308"/>
      <c r="H13" s="1315"/>
      <c r="I13" s="1305">
        <f>ROUND(D13*E13*F13*G13/10000,0)</f>
        <v>0</v>
      </c>
    </row>
    <row r="14" spans="1:9">
      <c r="A14" s="3152"/>
      <c r="B14" s="3153" t="s">
        <v>1098</v>
      </c>
      <c r="C14" s="3153"/>
      <c r="D14" s="1306"/>
      <c r="E14" s="1306"/>
      <c r="F14" s="1307"/>
      <c r="G14" s="1308"/>
      <c r="H14" s="1315"/>
      <c r="I14" s="1305">
        <f>ROUND(D14*E14*F14*G14/10000,0)</f>
        <v>0</v>
      </c>
    </row>
    <row r="15" spans="1:9">
      <c r="A15" s="3152"/>
      <c r="B15" s="3154" t="s">
        <v>1089</v>
      </c>
      <c r="C15" s="3154"/>
      <c r="D15" s="1310"/>
      <c r="E15" s="1310">
        <f>SUM(E12:E14)</f>
        <v>0</v>
      </c>
      <c r="F15" s="1311"/>
      <c r="G15" s="1308"/>
      <c r="H15" s="1315"/>
      <c r="I15" s="1316">
        <f>SUM(I12:I14)</f>
        <v>0</v>
      </c>
    </row>
    <row r="16" spans="1:9" ht="24">
      <c r="A16" s="3152" t="s">
        <v>1099</v>
      </c>
      <c r="B16" s="3153" t="s">
        <v>1100</v>
      </c>
      <c r="C16" s="3153"/>
      <c r="D16" s="1306" t="s">
        <v>1076</v>
      </c>
      <c r="E16" s="1317" t="s">
        <v>1101</v>
      </c>
      <c r="F16" s="1307" t="s">
        <v>1102</v>
      </c>
      <c r="G16" s="1308" t="s">
        <v>1080</v>
      </c>
      <c r="H16" s="1314" t="s">
        <v>1095</v>
      </c>
      <c r="I16" s="1305" t="s">
        <v>1081</v>
      </c>
    </row>
    <row r="17" spans="1:9" ht="14.25">
      <c r="A17" s="3152"/>
      <c r="B17" s="3153" t="s">
        <v>1103</v>
      </c>
      <c r="C17" s="3153"/>
      <c r="D17" s="1306"/>
      <c r="E17" s="1306"/>
      <c r="F17" s="1307"/>
      <c r="G17" s="1308"/>
      <c r="H17" s="1318"/>
      <c r="I17" s="1319">
        <f>ROUND(D17*E17*F17*G17/10000,0)</f>
        <v>0</v>
      </c>
    </row>
    <row r="18" spans="1:9" ht="14.25">
      <c r="A18" s="3152"/>
      <c r="B18" s="3153" t="s">
        <v>1104</v>
      </c>
      <c r="C18" s="3153"/>
      <c r="D18" s="1306"/>
      <c r="E18" s="1306"/>
      <c r="F18" s="1307"/>
      <c r="G18" s="1308"/>
      <c r="H18" s="1318"/>
      <c r="I18" s="1319">
        <f>ROUND(D18*E18*F18*G18/10000,0)</f>
        <v>0</v>
      </c>
    </row>
    <row r="19" spans="1:9" ht="14.25">
      <c r="A19" s="3152"/>
      <c r="B19" s="3153" t="s">
        <v>1105</v>
      </c>
      <c r="C19" s="3153"/>
      <c r="D19" s="1306"/>
      <c r="E19" s="1306"/>
      <c r="F19" s="1307"/>
      <c r="G19" s="1308"/>
      <c r="H19" s="1318"/>
      <c r="I19" s="1319">
        <f>ROUND(D19*E19*F19*G19/10000,0)</f>
        <v>0</v>
      </c>
    </row>
    <row r="20" spans="1:9">
      <c r="A20" s="3152"/>
      <c r="B20" s="3154" t="s">
        <v>1089</v>
      </c>
      <c r="C20" s="3154"/>
      <c r="D20" s="1310">
        <f>SUM(D17:D19)</f>
        <v>0</v>
      </c>
      <c r="E20" s="1310"/>
      <c r="F20" s="1311"/>
      <c r="G20" s="1308"/>
      <c r="H20" s="1315"/>
      <c r="I20" s="1316">
        <f>SUM(I17:I19)</f>
        <v>0</v>
      </c>
    </row>
    <row r="21" spans="1:9">
      <c r="A21" s="3152" t="s">
        <v>1106</v>
      </c>
      <c r="B21" s="3156"/>
      <c r="C21" s="3156"/>
      <c r="D21" s="3156"/>
      <c r="E21" s="3156"/>
      <c r="F21" s="3156"/>
      <c r="G21" s="3156"/>
      <c r="H21" s="1768">
        <v>0.1</v>
      </c>
      <c r="I21" s="1313">
        <f>ROUND(I10*H21,0)</f>
        <v>0</v>
      </c>
    </row>
    <row r="22" spans="1:9" ht="14.25">
      <c r="A22" s="3157" t="s">
        <v>1107</v>
      </c>
      <c r="B22" s="3158"/>
      <c r="C22" s="3159"/>
      <c r="D22" s="1320" t="s">
        <v>1108</v>
      </c>
      <c r="E22" s="1320" t="s">
        <v>1109</v>
      </c>
      <c r="F22" s="1321" t="s">
        <v>1110</v>
      </c>
      <c r="G22" s="1321" t="s">
        <v>1111</v>
      </c>
      <c r="H22" s="1314" t="s">
        <v>1112</v>
      </c>
      <c r="I22" s="1305" t="s">
        <v>1113</v>
      </c>
    </row>
    <row r="23" spans="1:9" ht="14.25" thickBot="1">
      <c r="A23" s="3160"/>
      <c r="B23" s="3161"/>
      <c r="C23" s="3162"/>
      <c r="D23" s="1322"/>
      <c r="E23" s="1322"/>
      <c r="F23" s="1322"/>
      <c r="G23" s="1323"/>
      <c r="H23" s="1324"/>
      <c r="I23" s="1325">
        <f>ROUND(E23*D23*F23*(1-G23)/10000,0)</f>
        <v>0</v>
      </c>
    </row>
    <row r="26" spans="1:9">
      <c r="A26" s="1326" t="s">
        <v>1114</v>
      </c>
      <c r="B26" s="1326"/>
      <c r="C26" s="1326"/>
      <c r="D26" s="1326"/>
      <c r="E26" s="3163">
        <f>C27-C30-C31-C32</f>
        <v>0</v>
      </c>
      <c r="F26" s="3163"/>
      <c r="G26" s="3163"/>
      <c r="H26" s="1740" t="s">
        <v>1336</v>
      </c>
    </row>
    <row r="27" spans="1:9">
      <c r="A27" s="1327">
        <v>1</v>
      </c>
      <c r="B27" s="1328" t="s">
        <v>1115</v>
      </c>
      <c r="C27" s="1328">
        <f>C28+C29</f>
        <v>0</v>
      </c>
      <c r="D27" s="1328"/>
      <c r="E27" s="3164"/>
      <c r="F27" s="3164"/>
      <c r="G27" s="3164"/>
    </row>
    <row r="28" spans="1:9">
      <c r="A28" s="1329" t="s">
        <v>1116</v>
      </c>
      <c r="B28" s="1328" t="s">
        <v>1117</v>
      </c>
      <c r="C28" s="1328"/>
      <c r="D28" s="1328"/>
      <c r="E28" s="3164"/>
      <c r="F28" s="3164"/>
      <c r="G28" s="316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5"/>
      <c r="F32" s="3155"/>
      <c r="G32" s="3155"/>
    </row>
    <row r="33" spans="1:7" hidden="1">
      <c r="A33" s="3165" t="s">
        <v>1126</v>
      </c>
      <c r="B33" s="3166"/>
      <c r="C33" s="3166"/>
      <c r="D33" s="3167"/>
      <c r="E33" s="3163"/>
      <c r="F33" s="3163"/>
      <c r="G33" s="3163"/>
    </row>
    <row r="34" spans="1:7" hidden="1">
      <c r="A34" s="1331">
        <v>1</v>
      </c>
      <c r="B34" s="1328" t="s">
        <v>1127</v>
      </c>
      <c r="C34" s="1328"/>
      <c r="D34" s="1328"/>
      <c r="E34" s="3164"/>
      <c r="F34" s="3164"/>
      <c r="G34" s="3164"/>
    </row>
    <row r="35" spans="1:7" hidden="1">
      <c r="A35" s="1331">
        <v>2</v>
      </c>
      <c r="B35" s="1328" t="s">
        <v>1128</v>
      </c>
      <c r="C35" s="1328"/>
      <c r="D35" s="1328"/>
      <c r="E35" s="3164"/>
      <c r="F35" s="3164"/>
      <c r="G35" s="3164"/>
    </row>
    <row r="36" spans="1:7" hidden="1">
      <c r="A36" s="1331">
        <v>3</v>
      </c>
      <c r="B36" s="1328" t="s">
        <v>1129</v>
      </c>
      <c r="C36" s="1328"/>
      <c r="D36" s="1328"/>
      <c r="E36" s="3164"/>
      <c r="F36" s="3164"/>
      <c r="G36" s="3164"/>
    </row>
    <row r="37" spans="1:7" hidden="1">
      <c r="A37" s="1331">
        <v>4</v>
      </c>
      <c r="B37" s="1328" t="s">
        <v>1130</v>
      </c>
      <c r="C37" s="1328"/>
      <c r="D37" s="1328"/>
      <c r="E37" s="3164"/>
      <c r="F37" s="3164"/>
      <c r="G37" s="3164"/>
    </row>
    <row r="38" spans="1:7" hidden="1">
      <c r="A38" s="3165" t="s">
        <v>1131</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7397.6099999999988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86" t="s">
        <v>2537</v>
      </c>
      <c r="D4" s="3187"/>
      <c r="E4" s="3188" t="s">
        <v>2538</v>
      </c>
      <c r="F4" s="3189"/>
      <c r="G4" s="3186" t="s">
        <v>2539</v>
      </c>
      <c r="H4" s="3187"/>
      <c r="I4" s="3186" t="s">
        <v>2540</v>
      </c>
      <c r="J4" s="3187"/>
      <c r="K4" s="2603" t="s">
        <v>2541</v>
      </c>
      <c r="L4" s="1133"/>
      <c r="M4" s="1134"/>
      <c r="N4" s="1134"/>
      <c r="O4" s="1134"/>
      <c r="P4" s="3190" t="s">
        <v>2542</v>
      </c>
      <c r="Q4" s="3191"/>
      <c r="R4" s="3173" t="s">
        <v>2538</v>
      </c>
      <c r="S4" s="3174"/>
      <c r="T4" s="3173" t="s">
        <v>2539</v>
      </c>
      <c r="U4" s="3174"/>
      <c r="V4" s="3198" t="s">
        <v>2540</v>
      </c>
      <c r="W4" s="3198"/>
      <c r="X4" s="1816"/>
      <c r="Y4" s="3173" t="s">
        <v>2542</v>
      </c>
      <c r="Z4" s="3174"/>
      <c r="AA4" s="3168" t="s">
        <v>2538</v>
      </c>
      <c r="AB4" s="3168" t="s">
        <v>2539</v>
      </c>
      <c r="AC4" s="3168" t="s">
        <v>2540</v>
      </c>
    </row>
    <row r="5" spans="1:29" ht="15">
      <c r="A5" s="404"/>
      <c r="B5" s="405"/>
      <c r="C5" s="3179" t="s">
        <v>2543</v>
      </c>
      <c r="D5" s="3180"/>
      <c r="E5" s="3177" t="s">
        <v>2544</v>
      </c>
      <c r="F5" s="3178"/>
      <c r="G5" s="3179" t="s">
        <v>2545</v>
      </c>
      <c r="H5" s="3180"/>
      <c r="I5" s="3179" t="s">
        <v>2546</v>
      </c>
      <c r="J5" s="3180"/>
      <c r="K5" s="2604"/>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2547</v>
      </c>
      <c r="D6" s="3182"/>
      <c r="E6" s="3183" t="s">
        <v>2547</v>
      </c>
      <c r="F6" s="3184"/>
      <c r="G6" s="3181" t="s">
        <v>2547</v>
      </c>
      <c r="H6" s="3182"/>
      <c r="I6" s="3181" t="s">
        <v>2547</v>
      </c>
      <c r="J6" s="3182"/>
      <c r="K6" s="2604" t="s">
        <v>2548</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1" t="s">
        <v>2550</v>
      </c>
      <c r="Q7" s="3199"/>
      <c r="R7" s="770" t="s">
        <v>23</v>
      </c>
      <c r="S7" s="771">
        <f t="shared" ref="S7:S15" si="0">F7</f>
        <v>0</v>
      </c>
      <c r="T7" s="770" t="s">
        <v>23</v>
      </c>
      <c r="U7" s="771">
        <f t="shared" ref="U7:U15" si="1">H7</f>
        <v>0</v>
      </c>
      <c r="V7" s="770" t="s">
        <v>23</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1" t="s">
        <v>2553</v>
      </c>
      <c r="Q8" s="3172"/>
      <c r="R8" s="770" t="s">
        <v>23</v>
      </c>
      <c r="S8" s="771">
        <f t="shared" si="0"/>
        <v>0</v>
      </c>
      <c r="T8" s="770" t="s">
        <v>23</v>
      </c>
      <c r="U8" s="771">
        <f t="shared" si="1"/>
        <v>0</v>
      </c>
      <c r="V8" s="770" t="s">
        <v>23</v>
      </c>
      <c r="W8" s="771">
        <f t="shared" si="2"/>
        <v>0</v>
      </c>
      <c r="X8" s="772"/>
      <c r="Y8" s="3171" t="s">
        <v>2553</v>
      </c>
      <c r="Z8" s="317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2" t="s">
        <v>2561</v>
      </c>
      <c r="Q15" s="1813" t="str">
        <f t="shared" si="6"/>
        <v>居住社区成熟度</v>
      </c>
      <c r="R15" s="774" t="s">
        <v>21</v>
      </c>
      <c r="S15" s="775">
        <f t="shared" si="0"/>
        <v>100</v>
      </c>
      <c r="T15" s="774" t="s">
        <v>21</v>
      </c>
      <c r="U15" s="775">
        <f t="shared" si="1"/>
        <v>100</v>
      </c>
      <c r="V15" s="774" t="s">
        <v>21</v>
      </c>
      <c r="W15" s="775">
        <f t="shared" si="2"/>
        <v>100</v>
      </c>
      <c r="X15" s="1816"/>
      <c r="Y15" s="3205"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3"/>
      <c r="Q16" s="1813"/>
      <c r="R16" s="774"/>
      <c r="S16" s="775"/>
      <c r="T16" s="774"/>
      <c r="U16" s="775"/>
      <c r="V16" s="774"/>
      <c r="W16" s="775"/>
      <c r="X16" s="1816"/>
      <c r="Y16" s="3206"/>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3"/>
      <c r="Q17" s="1813" t="str">
        <f>B17</f>
        <v>交通便捷度</v>
      </c>
      <c r="R17" s="774" t="s">
        <v>21</v>
      </c>
      <c r="S17" s="775">
        <f>F17</f>
        <v>100</v>
      </c>
      <c r="T17" s="774" t="s">
        <v>21</v>
      </c>
      <c r="U17" s="775">
        <f>H17</f>
        <v>100</v>
      </c>
      <c r="V17" s="774" t="s">
        <v>21</v>
      </c>
      <c r="W17" s="775">
        <f>J17</f>
        <v>100</v>
      </c>
      <c r="X17" s="1816"/>
      <c r="Y17" s="320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3"/>
      <c r="Q18" s="1813"/>
      <c r="R18" s="774"/>
      <c r="S18" s="775"/>
      <c r="T18" s="774"/>
      <c r="U18" s="775"/>
      <c r="V18" s="774"/>
      <c r="W18" s="775"/>
      <c r="X18" s="1816"/>
      <c r="Y18" s="3206"/>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3"/>
      <c r="Q19" s="1813" t="str">
        <f>B19</f>
        <v>公共配套设施</v>
      </c>
      <c r="R19" s="774" t="s">
        <v>21</v>
      </c>
      <c r="S19" s="775">
        <f>F19</f>
        <v>100</v>
      </c>
      <c r="T19" s="774" t="s">
        <v>21</v>
      </c>
      <c r="U19" s="775">
        <f>H19</f>
        <v>100</v>
      </c>
      <c r="V19" s="774" t="s">
        <v>21</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3"/>
      <c r="Q20" s="1813"/>
      <c r="R20" s="774"/>
      <c r="S20" s="775"/>
      <c r="T20" s="774"/>
      <c r="U20" s="775"/>
      <c r="V20" s="774"/>
      <c r="W20" s="775"/>
      <c r="X20" s="1816"/>
      <c r="Y20" s="3206"/>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3"/>
      <c r="Q22" s="1813"/>
      <c r="R22" s="774"/>
      <c r="S22" s="775"/>
      <c r="T22" s="774"/>
      <c r="U22" s="775"/>
      <c r="V22" s="774"/>
      <c r="W22" s="775"/>
      <c r="X22" s="1816"/>
      <c r="Y22" s="3206"/>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3"/>
      <c r="Q23" s="1813" t="str">
        <f>B23</f>
        <v>自然及人文环境</v>
      </c>
      <c r="R23" s="774" t="s">
        <v>21</v>
      </c>
      <c r="S23" s="775">
        <f>F23</f>
        <v>100</v>
      </c>
      <c r="T23" s="774" t="s">
        <v>21</v>
      </c>
      <c r="U23" s="775">
        <f>H23</f>
        <v>100</v>
      </c>
      <c r="V23" s="774" t="s">
        <v>21</v>
      </c>
      <c r="W23" s="775">
        <f>J23</f>
        <v>100</v>
      </c>
      <c r="X23" s="1816"/>
      <c r="Y23" s="320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3"/>
      <c r="Q26" s="1813" t="str">
        <f t="shared" si="11"/>
        <v>朝向</v>
      </c>
      <c r="R26" s="774" t="s">
        <v>21</v>
      </c>
      <c r="S26" s="775">
        <f t="shared" si="12"/>
        <v>100</v>
      </c>
      <c r="T26" s="774" t="s">
        <v>21</v>
      </c>
      <c r="U26" s="775">
        <f t="shared" si="13"/>
        <v>100</v>
      </c>
      <c r="V26" s="774" t="s">
        <v>21</v>
      </c>
      <c r="W26" s="775">
        <f t="shared" si="14"/>
        <v>100</v>
      </c>
      <c r="X26" s="1816"/>
      <c r="Y26" s="320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3"/>
      <c r="Q27" s="1798">
        <f t="shared" si="11"/>
        <v>111</v>
      </c>
      <c r="R27" s="770" t="s">
        <v>21</v>
      </c>
      <c r="S27" s="771">
        <f t="shared" si="12"/>
        <v>100</v>
      </c>
      <c r="T27" s="770" t="s">
        <v>21</v>
      </c>
      <c r="U27" s="771">
        <f t="shared" si="13"/>
        <v>100</v>
      </c>
      <c r="V27" s="770" t="s">
        <v>21</v>
      </c>
      <c r="W27" s="771">
        <f t="shared" si="14"/>
        <v>100</v>
      </c>
      <c r="X27" s="772"/>
      <c r="Y27" s="320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3"/>
      <c r="Q28" s="1813">
        <f t="shared" si="11"/>
        <v>111</v>
      </c>
      <c r="R28" s="774" t="s">
        <v>21</v>
      </c>
      <c r="S28" s="775">
        <f t="shared" si="12"/>
        <v>100</v>
      </c>
      <c r="T28" s="774" t="s">
        <v>21</v>
      </c>
      <c r="U28" s="775">
        <f t="shared" si="13"/>
        <v>100</v>
      </c>
      <c r="V28" s="774" t="s">
        <v>21</v>
      </c>
      <c r="W28" s="775">
        <f t="shared" si="14"/>
        <v>100</v>
      </c>
      <c r="X28" s="1816"/>
      <c r="Y28" s="320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3"/>
      <c r="Q29" s="1813">
        <f t="shared" si="11"/>
        <v>111</v>
      </c>
      <c r="R29" s="774" t="s">
        <v>21</v>
      </c>
      <c r="S29" s="775">
        <f t="shared" si="12"/>
        <v>100</v>
      </c>
      <c r="T29" s="774" t="s">
        <v>21</v>
      </c>
      <c r="U29" s="775">
        <f t="shared" si="13"/>
        <v>100</v>
      </c>
      <c r="V29" s="774" t="s">
        <v>21</v>
      </c>
      <c r="W29" s="775">
        <f t="shared" si="14"/>
        <v>100</v>
      </c>
      <c r="X29" s="1816"/>
      <c r="Y29" s="320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3"/>
      <c r="Q30" s="1813">
        <f t="shared" si="11"/>
        <v>111</v>
      </c>
      <c r="R30" s="774" t="s">
        <v>21</v>
      </c>
      <c r="S30" s="775">
        <f t="shared" si="12"/>
        <v>100</v>
      </c>
      <c r="T30" s="774" t="s">
        <v>21</v>
      </c>
      <c r="U30" s="775">
        <f t="shared" si="13"/>
        <v>100</v>
      </c>
      <c r="V30" s="774" t="s">
        <v>21</v>
      </c>
      <c r="W30" s="775">
        <f t="shared" si="14"/>
        <v>100</v>
      </c>
      <c r="X30" s="1816"/>
      <c r="Y30" s="320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3"/>
      <c r="Q31" s="1813">
        <f t="shared" si="11"/>
        <v>111</v>
      </c>
      <c r="R31" s="774" t="s">
        <v>21</v>
      </c>
      <c r="S31" s="775">
        <f t="shared" si="12"/>
        <v>100</v>
      </c>
      <c r="T31" s="774" t="s">
        <v>21</v>
      </c>
      <c r="U31" s="775">
        <f t="shared" si="13"/>
        <v>100</v>
      </c>
      <c r="V31" s="774" t="s">
        <v>21</v>
      </c>
      <c r="W31" s="775">
        <f t="shared" si="14"/>
        <v>100</v>
      </c>
      <c r="X31" s="1816"/>
      <c r="Y31" s="3206"/>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7" t="s">
        <v>2566</v>
      </c>
      <c r="Q32" s="1813" t="str">
        <f t="shared" si="11"/>
        <v>建筑类型</v>
      </c>
      <c r="R32" s="774" t="s">
        <v>21</v>
      </c>
      <c r="S32" s="775">
        <f t="shared" si="12"/>
        <v>100</v>
      </c>
      <c r="T32" s="774" t="s">
        <v>21</v>
      </c>
      <c r="U32" s="775">
        <f t="shared" si="13"/>
        <v>100</v>
      </c>
      <c r="V32" s="774" t="s">
        <v>21</v>
      </c>
      <c r="W32" s="775">
        <f t="shared" si="14"/>
        <v>100</v>
      </c>
      <c r="X32" s="1816"/>
      <c r="Y32" s="3210"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8"/>
      <c r="Q34" s="1813" t="str">
        <f t="shared" si="11"/>
        <v>建筑结构</v>
      </c>
      <c r="R34" s="774" t="s">
        <v>21</v>
      </c>
      <c r="S34" s="775">
        <f t="shared" si="12"/>
        <v>100</v>
      </c>
      <c r="T34" s="774" t="s">
        <v>21</v>
      </c>
      <c r="U34" s="775">
        <f t="shared" si="13"/>
        <v>100</v>
      </c>
      <c r="V34" s="774" t="s">
        <v>21</v>
      </c>
      <c r="W34" s="775">
        <f t="shared" si="14"/>
        <v>100</v>
      </c>
      <c r="X34" s="1816"/>
      <c r="Y34" s="3210"/>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8"/>
      <c r="Q35" s="1813" t="str">
        <f t="shared" si="11"/>
        <v>建筑品质</v>
      </c>
      <c r="R35" s="774" t="s">
        <v>21</v>
      </c>
      <c r="S35" s="775">
        <f t="shared" si="12"/>
        <v>100</v>
      </c>
      <c r="T35" s="774" t="s">
        <v>21</v>
      </c>
      <c r="U35" s="775">
        <f t="shared" si="13"/>
        <v>100</v>
      </c>
      <c r="V35" s="774" t="s">
        <v>21</v>
      </c>
      <c r="W35" s="775">
        <f t="shared" si="14"/>
        <v>100</v>
      </c>
      <c r="X35" s="1816"/>
      <c r="Y35" s="3210"/>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8"/>
      <c r="Q36" s="1813" t="str">
        <f t="shared" si="11"/>
        <v>公共部分装修</v>
      </c>
      <c r="R36" s="774" t="s">
        <v>21</v>
      </c>
      <c r="S36" s="775">
        <f t="shared" si="12"/>
        <v>100</v>
      </c>
      <c r="T36" s="774" t="s">
        <v>21</v>
      </c>
      <c r="U36" s="775">
        <f t="shared" si="13"/>
        <v>100</v>
      </c>
      <c r="V36" s="774" t="s">
        <v>21</v>
      </c>
      <c r="W36" s="775">
        <f t="shared" si="14"/>
        <v>100</v>
      </c>
      <c r="X36" s="1816"/>
      <c r="Y36" s="3210"/>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8"/>
      <c r="Q37" s="1798"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8" t="s">
        <v>2566</v>
      </c>
      <c r="Q38" s="1813" t="str">
        <f t="shared" si="11"/>
        <v>物业管理</v>
      </c>
      <c r="R38" s="774" t="s">
        <v>21</v>
      </c>
      <c r="S38" s="775">
        <f t="shared" si="12"/>
        <v>100</v>
      </c>
      <c r="T38" s="774" t="s">
        <v>21</v>
      </c>
      <c r="U38" s="775">
        <f t="shared" si="13"/>
        <v>100</v>
      </c>
      <c r="V38" s="774" t="s">
        <v>21</v>
      </c>
      <c r="W38" s="775">
        <f t="shared" si="14"/>
        <v>100</v>
      </c>
      <c r="X38" s="1816"/>
      <c r="Y38" s="3210"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8"/>
      <c r="Q39" s="1813" t="str">
        <f t="shared" si="11"/>
        <v>市政基础设施</v>
      </c>
      <c r="R39" s="774" t="s">
        <v>21</v>
      </c>
      <c r="S39" s="775">
        <f t="shared" si="12"/>
        <v>100</v>
      </c>
      <c r="T39" s="774" t="s">
        <v>21</v>
      </c>
      <c r="U39" s="775">
        <f t="shared" si="13"/>
        <v>100</v>
      </c>
      <c r="V39" s="774" t="s">
        <v>21</v>
      </c>
      <c r="W39" s="775">
        <f t="shared" si="14"/>
        <v>100</v>
      </c>
      <c r="X39" s="1816"/>
      <c r="Y39" s="3210"/>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8"/>
      <c r="Q40" s="1813" t="str">
        <f t="shared" si="11"/>
        <v>房型</v>
      </c>
      <c r="R40" s="774" t="s">
        <v>21</v>
      </c>
      <c r="S40" s="775">
        <f t="shared" si="12"/>
        <v>100</v>
      </c>
      <c r="T40" s="774" t="s">
        <v>21</v>
      </c>
      <c r="U40" s="775">
        <f t="shared" si="13"/>
        <v>100</v>
      </c>
      <c r="V40" s="774" t="s">
        <v>21</v>
      </c>
      <c r="W40" s="775">
        <f t="shared" si="14"/>
        <v>100</v>
      </c>
      <c r="X40" s="1816"/>
      <c r="Y40" s="3210"/>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8"/>
      <c r="Q42" s="1813" t="str">
        <f t="shared" si="11"/>
        <v>内部装修</v>
      </c>
      <c r="R42" s="774" t="s">
        <v>21</v>
      </c>
      <c r="S42" s="775">
        <f t="shared" si="12"/>
        <v>100</v>
      </c>
      <c r="T42" s="774" t="s">
        <v>21</v>
      </c>
      <c r="U42" s="775">
        <f t="shared" si="13"/>
        <v>100</v>
      </c>
      <c r="V42" s="774" t="s">
        <v>21</v>
      </c>
      <c r="W42" s="775">
        <f t="shared" si="14"/>
        <v>100</v>
      </c>
      <c r="X42" s="1816"/>
      <c r="Y42" s="3210"/>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8"/>
      <c r="Q43" s="1813" t="str">
        <f t="shared" si="11"/>
        <v>内部装修维护情况</v>
      </c>
      <c r="R43" s="774" t="s">
        <v>21</v>
      </c>
      <c r="S43" s="775">
        <f t="shared" si="12"/>
        <v>100</v>
      </c>
      <c r="T43" s="774" t="s">
        <v>21</v>
      </c>
      <c r="U43" s="775">
        <f t="shared" si="13"/>
        <v>100</v>
      </c>
      <c r="V43" s="774" t="s">
        <v>21</v>
      </c>
      <c r="W43" s="775">
        <f t="shared" si="14"/>
        <v>100</v>
      </c>
      <c r="X43" s="1816"/>
      <c r="Y43" s="321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8"/>
      <c r="Q44" s="1798">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8"/>
      <c r="Q45" s="1813">
        <f t="shared" si="11"/>
        <v>111</v>
      </c>
      <c r="R45" s="774" t="s">
        <v>21</v>
      </c>
      <c r="S45" s="775">
        <f t="shared" si="12"/>
        <v>100</v>
      </c>
      <c r="T45" s="774" t="s">
        <v>21</v>
      </c>
      <c r="U45" s="775">
        <f t="shared" si="13"/>
        <v>100</v>
      </c>
      <c r="V45" s="774" t="s">
        <v>21</v>
      </c>
      <c r="W45" s="775">
        <f t="shared" si="14"/>
        <v>100</v>
      </c>
      <c r="X45" s="1816"/>
      <c r="Y45" s="321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9"/>
      <c r="Q46" s="1813">
        <f t="shared" si="11"/>
        <v>111</v>
      </c>
      <c r="R46" s="774" t="s">
        <v>20</v>
      </c>
      <c r="S46" s="775">
        <f t="shared" si="12"/>
        <v>100</v>
      </c>
      <c r="T46" s="774" t="s">
        <v>20</v>
      </c>
      <c r="U46" s="775">
        <f t="shared" si="13"/>
        <v>100</v>
      </c>
      <c r="V46" s="774" t="s">
        <v>20</v>
      </c>
      <c r="W46" s="775">
        <f t="shared" si="14"/>
        <v>100</v>
      </c>
      <c r="X46" s="1816"/>
      <c r="Y46" s="3211"/>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98" t="s">
        <v>2649</v>
      </c>
      <c r="AC4" s="3168" t="s">
        <v>2650</v>
      </c>
    </row>
    <row r="5" spans="1:29"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98"/>
      <c r="AC5" s="3169"/>
    </row>
    <row r="6" spans="1:29" ht="15.75" thickBot="1">
      <c r="A6" s="406"/>
      <c r="B6" s="407"/>
      <c r="C6" s="3181" t="s">
        <v>2547</v>
      </c>
      <c r="D6" s="3182"/>
      <c r="E6" s="3183" t="s">
        <v>2547</v>
      </c>
      <c r="F6" s="3184"/>
      <c r="G6" s="3181" t="s">
        <v>2547</v>
      </c>
      <c r="H6" s="3182"/>
      <c r="I6" s="3181" t="s">
        <v>2547</v>
      </c>
      <c r="J6" s="3182"/>
      <c r="K6" s="610" t="s">
        <v>2548</v>
      </c>
      <c r="L6" s="1133"/>
      <c r="M6" s="1134"/>
      <c r="N6" s="1134"/>
      <c r="O6" s="1134"/>
      <c r="P6" s="3194"/>
      <c r="Q6" s="3195"/>
      <c r="R6" s="3175"/>
      <c r="S6" s="3176"/>
      <c r="T6" s="3196"/>
      <c r="U6" s="3197"/>
      <c r="V6" s="3198"/>
      <c r="W6" s="3198"/>
      <c r="X6" s="1816"/>
      <c r="Y6" s="3196"/>
      <c r="Z6" s="3197"/>
      <c r="AA6" s="3170"/>
      <c r="AB6" s="3198"/>
      <c r="AC6" s="3170"/>
    </row>
    <row r="7" spans="1:29" s="117" customFormat="1" ht="15.75" thickBot="1">
      <c r="A7" s="408" t="s">
        <v>2549</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2550</v>
      </c>
      <c r="Q7" s="3199"/>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2" t="s">
        <v>2561</v>
      </c>
      <c r="Q15" s="1813" t="str">
        <f t="shared" si="6"/>
        <v>商业繁华度</v>
      </c>
      <c r="R15" s="774" t="s">
        <v>17</v>
      </c>
      <c r="S15" s="775">
        <f t="shared" si="0"/>
        <v>100</v>
      </c>
      <c r="T15" s="774" t="s">
        <v>17</v>
      </c>
      <c r="U15" s="775">
        <f t="shared" si="1"/>
        <v>100</v>
      </c>
      <c r="V15" s="774" t="s">
        <v>17</v>
      </c>
      <c r="W15" s="775">
        <f t="shared" si="2"/>
        <v>100</v>
      </c>
      <c r="X15" s="1816"/>
      <c r="Y15" s="3205"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3"/>
      <c r="Q18" s="1813"/>
      <c r="R18" s="774"/>
      <c r="S18" s="775"/>
      <c r="T18" s="774"/>
      <c r="U18" s="775"/>
      <c r="V18" s="774"/>
      <c r="W18" s="775"/>
      <c r="X18" s="1816"/>
      <c r="Y18" s="3206"/>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3"/>
      <c r="Q20" s="1813"/>
      <c r="R20" s="774"/>
      <c r="S20" s="775"/>
      <c r="T20" s="774"/>
      <c r="U20" s="775"/>
      <c r="V20" s="774"/>
      <c r="W20" s="775"/>
      <c r="X20" s="1816"/>
      <c r="Y20" s="3206"/>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3"/>
      <c r="Q22" s="1813"/>
      <c r="R22" s="774"/>
      <c r="S22" s="775"/>
      <c r="T22" s="774"/>
      <c r="U22" s="775"/>
      <c r="V22" s="774"/>
      <c r="W22" s="775"/>
      <c r="X22" s="1816"/>
      <c r="Y22" s="3206"/>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3"/>
      <c r="Q23" s="1813" t="str">
        <f>B23</f>
        <v>自然及人文环境</v>
      </c>
      <c r="R23" s="774" t="s">
        <v>17</v>
      </c>
      <c r="S23" s="775">
        <f>F23</f>
        <v>100</v>
      </c>
      <c r="T23" s="774" t="s">
        <v>17</v>
      </c>
      <c r="U23" s="775">
        <f>H23</f>
        <v>100</v>
      </c>
      <c r="V23" s="774" t="s">
        <v>17</v>
      </c>
      <c r="W23" s="775">
        <f>J23</f>
        <v>100</v>
      </c>
      <c r="X23" s="1816"/>
      <c r="Y23" s="320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3"/>
      <c r="Q24" s="1813"/>
      <c r="R24" s="774"/>
      <c r="S24" s="775"/>
      <c r="T24" s="774"/>
      <c r="U24" s="775"/>
      <c r="V24" s="774"/>
      <c r="W24" s="775"/>
      <c r="X24" s="1816"/>
      <c r="Y24" s="3206"/>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3"/>
      <c r="Q25" s="1813" t="str">
        <f t="shared" ref="Q25:Q46" si="11">B25</f>
        <v>临街状况</v>
      </c>
      <c r="R25" s="774" t="s">
        <v>17</v>
      </c>
      <c r="S25" s="775">
        <f>F25</f>
        <v>100</v>
      </c>
      <c r="T25" s="774" t="s">
        <v>17</v>
      </c>
      <c r="U25" s="775">
        <f>H25</f>
        <v>100</v>
      </c>
      <c r="V25" s="774" t="s">
        <v>17</v>
      </c>
      <c r="W25" s="775">
        <f>J25</f>
        <v>100</v>
      </c>
      <c r="X25" s="1816"/>
      <c r="Y25" s="3206"/>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3"/>
      <c r="Q26" s="1813" t="str">
        <f t="shared" si="11"/>
        <v>平面位置/可视性</v>
      </c>
      <c r="R26" s="774" t="s">
        <v>17</v>
      </c>
      <c r="S26" s="775">
        <f>F26</f>
        <v>100</v>
      </c>
      <c r="T26" s="774" t="s">
        <v>17</v>
      </c>
      <c r="U26" s="775">
        <f>H26</f>
        <v>100</v>
      </c>
      <c r="V26" s="774" t="s">
        <v>17</v>
      </c>
      <c r="W26" s="775">
        <f>J26</f>
        <v>100</v>
      </c>
      <c r="X26" s="1816"/>
      <c r="Y26" s="3206"/>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3"/>
      <c r="Q27" s="1798" t="str">
        <f t="shared" si="11"/>
        <v>人流量</v>
      </c>
      <c r="R27" s="770" t="s">
        <v>17</v>
      </c>
      <c r="S27" s="771">
        <f>F27</f>
        <v>100</v>
      </c>
      <c r="T27" s="770" t="s">
        <v>17</v>
      </c>
      <c r="U27" s="771">
        <f>H27</f>
        <v>100</v>
      </c>
      <c r="V27" s="770" t="s">
        <v>17</v>
      </c>
      <c r="W27" s="771">
        <f>J27</f>
        <v>100</v>
      </c>
      <c r="X27" s="772"/>
      <c r="Y27" s="3206"/>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3"/>
      <c r="Q29" s="1813">
        <f t="shared" si="11"/>
        <v>111</v>
      </c>
      <c r="R29" s="774" t="s">
        <v>17</v>
      </c>
      <c r="S29" s="775">
        <f t="shared" si="12"/>
        <v>100</v>
      </c>
      <c r="T29" s="774" t="s">
        <v>17</v>
      </c>
      <c r="U29" s="775">
        <f t="shared" si="13"/>
        <v>100</v>
      </c>
      <c r="V29" s="774" t="s">
        <v>17</v>
      </c>
      <c r="W29" s="775">
        <f t="shared" si="14"/>
        <v>100</v>
      </c>
      <c r="X29" s="1816"/>
      <c r="Y29" s="320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7" t="s">
        <v>2566</v>
      </c>
      <c r="Q32" s="1813" t="str">
        <f t="shared" si="11"/>
        <v>商业类型</v>
      </c>
      <c r="R32" s="774" t="s">
        <v>17</v>
      </c>
      <c r="S32" s="775">
        <f t="shared" si="12"/>
        <v>100</v>
      </c>
      <c r="T32" s="774" t="s">
        <v>17</v>
      </c>
      <c r="U32" s="775">
        <f t="shared" si="13"/>
        <v>100</v>
      </c>
      <c r="V32" s="774" t="s">
        <v>17</v>
      </c>
      <c r="W32" s="775">
        <f t="shared" si="14"/>
        <v>100</v>
      </c>
      <c r="X32" s="1816"/>
      <c r="Y32" s="3210"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8"/>
      <c r="Q34" s="1813" t="str">
        <f t="shared" si="11"/>
        <v>建筑结构</v>
      </c>
      <c r="R34" s="774" t="s">
        <v>17</v>
      </c>
      <c r="S34" s="775">
        <f t="shared" si="12"/>
        <v>100</v>
      </c>
      <c r="T34" s="774" t="s">
        <v>17</v>
      </c>
      <c r="U34" s="775">
        <f t="shared" si="13"/>
        <v>100</v>
      </c>
      <c r="V34" s="774" t="s">
        <v>17</v>
      </c>
      <c r="W34" s="775">
        <f t="shared" si="14"/>
        <v>100</v>
      </c>
      <c r="X34" s="1816"/>
      <c r="Y34" s="3210"/>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8"/>
      <c r="Q35" s="1813" t="str">
        <f t="shared" si="11"/>
        <v>公共部分装修</v>
      </c>
      <c r="R35" s="774" t="s">
        <v>17</v>
      </c>
      <c r="S35" s="775">
        <f t="shared" si="12"/>
        <v>100</v>
      </c>
      <c r="T35" s="774" t="s">
        <v>17</v>
      </c>
      <c r="U35" s="775">
        <f t="shared" si="13"/>
        <v>100</v>
      </c>
      <c r="V35" s="774" t="s">
        <v>17</v>
      </c>
      <c r="W35" s="775">
        <f t="shared" si="14"/>
        <v>100</v>
      </c>
      <c r="X35" s="1816"/>
      <c r="Y35" s="3210"/>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8"/>
      <c r="Q36" s="1813" t="str">
        <f t="shared" si="11"/>
        <v>成新度</v>
      </c>
      <c r="R36" s="774" t="s">
        <v>17</v>
      </c>
      <c r="S36" s="775" t="e">
        <f t="shared" si="12"/>
        <v>#N/A</v>
      </c>
      <c r="T36" s="774" t="s">
        <v>17</v>
      </c>
      <c r="U36" s="775" t="e">
        <f t="shared" si="13"/>
        <v>#N/A</v>
      </c>
      <c r="V36" s="774" t="s">
        <v>17</v>
      </c>
      <c r="W36" s="775" t="e">
        <f t="shared" si="14"/>
        <v>#N/A</v>
      </c>
      <c r="X36" s="1816"/>
      <c r="Y36" s="3210"/>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8"/>
      <c r="Q37" s="1798"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8" t="s">
        <v>2566</v>
      </c>
      <c r="Q38" s="1813" t="str">
        <f t="shared" si="11"/>
        <v>业态</v>
      </c>
      <c r="R38" s="774" t="s">
        <v>17</v>
      </c>
      <c r="S38" s="775">
        <f t="shared" si="12"/>
        <v>100</v>
      </c>
      <c r="T38" s="774" t="s">
        <v>17</v>
      </c>
      <c r="U38" s="775">
        <f t="shared" si="13"/>
        <v>100</v>
      </c>
      <c r="V38" s="774" t="s">
        <v>17</v>
      </c>
      <c r="W38" s="775">
        <f t="shared" si="14"/>
        <v>100</v>
      </c>
      <c r="X38" s="1816"/>
      <c r="Y38" s="3210"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8"/>
      <c r="Q39" s="1813" t="str">
        <f t="shared" si="11"/>
        <v>层高</v>
      </c>
      <c r="R39" s="774" t="s">
        <v>17</v>
      </c>
      <c r="S39" s="775">
        <f t="shared" si="12"/>
        <v>100</v>
      </c>
      <c r="T39" s="774" t="s">
        <v>17</v>
      </c>
      <c r="U39" s="775">
        <f t="shared" si="13"/>
        <v>100</v>
      </c>
      <c r="V39" s="774" t="s">
        <v>17</v>
      </c>
      <c r="W39" s="775">
        <f t="shared" si="14"/>
        <v>100</v>
      </c>
      <c r="X39" s="1816"/>
      <c r="Y39" s="3210"/>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8"/>
      <c r="Q40" s="1813" t="str">
        <f t="shared" si="11"/>
        <v>单套建筑面积</v>
      </c>
      <c r="R40" s="774" t="s">
        <v>17</v>
      </c>
      <c r="S40" s="775">
        <f t="shared" si="12"/>
        <v>100</v>
      </c>
      <c r="T40" s="774" t="s">
        <v>17</v>
      </c>
      <c r="U40" s="775">
        <f t="shared" si="13"/>
        <v>100</v>
      </c>
      <c r="V40" s="774" t="s">
        <v>17</v>
      </c>
      <c r="W40" s="775">
        <f t="shared" si="14"/>
        <v>100</v>
      </c>
      <c r="X40" s="1816"/>
      <c r="Y40" s="3210"/>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8"/>
      <c r="Q42" s="1813" t="str">
        <f t="shared" si="11"/>
        <v>内部装修</v>
      </c>
      <c r="R42" s="774" t="s">
        <v>17</v>
      </c>
      <c r="S42" s="775">
        <f t="shared" si="12"/>
        <v>100</v>
      </c>
      <c r="T42" s="774" t="s">
        <v>17</v>
      </c>
      <c r="U42" s="775">
        <f t="shared" si="13"/>
        <v>100</v>
      </c>
      <c r="V42" s="774" t="s">
        <v>17</v>
      </c>
      <c r="W42" s="775">
        <f t="shared" si="14"/>
        <v>100</v>
      </c>
      <c r="X42" s="1816"/>
      <c r="Y42" s="3210"/>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8"/>
      <c r="Q43" s="1813" t="str">
        <f t="shared" si="11"/>
        <v>内部装修维护情况</v>
      </c>
      <c r="R43" s="774" t="s">
        <v>17</v>
      </c>
      <c r="S43" s="775">
        <f t="shared" si="12"/>
        <v>100</v>
      </c>
      <c r="T43" s="774" t="s">
        <v>17</v>
      </c>
      <c r="U43" s="775">
        <f t="shared" si="13"/>
        <v>100</v>
      </c>
      <c r="V43" s="774" t="s">
        <v>17</v>
      </c>
      <c r="W43" s="775">
        <f t="shared" si="14"/>
        <v>100</v>
      </c>
      <c r="X43" s="1816"/>
      <c r="Y43" s="321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8"/>
      <c r="Q44" s="1798">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8"/>
      <c r="Q45" s="1813">
        <f t="shared" si="11"/>
        <v>111</v>
      </c>
      <c r="R45" s="774" t="s">
        <v>17</v>
      </c>
      <c r="S45" s="775">
        <f t="shared" si="12"/>
        <v>100</v>
      </c>
      <c r="T45" s="774" t="s">
        <v>17</v>
      </c>
      <c r="U45" s="775">
        <f t="shared" si="13"/>
        <v>100</v>
      </c>
      <c r="V45" s="774" t="s">
        <v>17</v>
      </c>
      <c r="W45" s="775">
        <f t="shared" si="14"/>
        <v>100</v>
      </c>
      <c r="X45" s="1816"/>
      <c r="Y45" s="321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03" t="str">
        <f>A47</f>
        <v>成交单价（元/平方米）</v>
      </c>
      <c r="Q47" s="3203"/>
      <c r="R47" s="3198">
        <f>E47</f>
        <v>0</v>
      </c>
      <c r="S47" s="3198"/>
      <c r="T47" s="3198">
        <f>G47</f>
        <v>0</v>
      </c>
      <c r="U47" s="3198"/>
      <c r="V47" s="3198">
        <f>I47</f>
        <v>0</v>
      </c>
      <c r="W47" s="319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7397.6099999999988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220" t="s">
        <v>2652</v>
      </c>
      <c r="Q4" s="3221"/>
      <c r="R4" s="3215" t="s">
        <v>2648</v>
      </c>
      <c r="S4" s="3216"/>
      <c r="T4" s="3215" t="s">
        <v>2649</v>
      </c>
      <c r="U4" s="3216"/>
      <c r="V4" s="3224" t="s">
        <v>2650</v>
      </c>
      <c r="W4" s="3224"/>
      <c r="X4" s="2677"/>
      <c r="Y4" s="3215" t="s">
        <v>2652</v>
      </c>
      <c r="Z4" s="3216"/>
      <c r="AA4" s="3214" t="s">
        <v>2648</v>
      </c>
      <c r="AB4" s="3214" t="s">
        <v>2649</v>
      </c>
      <c r="AC4" s="3217" t="s">
        <v>2650</v>
      </c>
    </row>
    <row r="5" spans="1:29" ht="15">
      <c r="A5" s="404"/>
      <c r="B5" s="405"/>
      <c r="C5" s="3179" t="s">
        <v>2543</v>
      </c>
      <c r="D5" s="3180"/>
      <c r="E5" s="3177" t="s">
        <v>2544</v>
      </c>
      <c r="F5" s="3178"/>
      <c r="G5" s="3179" t="s">
        <v>2545</v>
      </c>
      <c r="H5" s="3180"/>
      <c r="I5" s="3179" t="s">
        <v>2546</v>
      </c>
      <c r="J5" s="3180"/>
      <c r="K5" s="610"/>
      <c r="L5" s="1133"/>
      <c r="M5" s="1134"/>
      <c r="N5" s="1134"/>
      <c r="O5" s="1134"/>
      <c r="P5" s="3222"/>
      <c r="Q5" s="3193"/>
      <c r="R5" s="3175"/>
      <c r="S5" s="3176"/>
      <c r="T5" s="3175"/>
      <c r="U5" s="3176"/>
      <c r="V5" s="3198"/>
      <c r="W5" s="3198"/>
      <c r="X5" s="1816"/>
      <c r="Y5" s="3175"/>
      <c r="Z5" s="3176"/>
      <c r="AA5" s="3169"/>
      <c r="AB5" s="3169"/>
      <c r="AC5" s="3218"/>
    </row>
    <row r="6" spans="1:29" ht="15.75" thickBot="1">
      <c r="A6" s="406"/>
      <c r="B6" s="407"/>
      <c r="C6" s="3181" t="s">
        <v>2547</v>
      </c>
      <c r="D6" s="3182"/>
      <c r="E6" s="3183" t="s">
        <v>2547</v>
      </c>
      <c r="F6" s="3184"/>
      <c r="G6" s="3181" t="s">
        <v>2547</v>
      </c>
      <c r="H6" s="3182"/>
      <c r="I6" s="3181" t="s">
        <v>2547</v>
      </c>
      <c r="J6" s="3182"/>
      <c r="K6" s="610" t="s">
        <v>2548</v>
      </c>
      <c r="L6" s="1133"/>
      <c r="M6" s="1134"/>
      <c r="N6" s="1134"/>
      <c r="O6" s="1134"/>
      <c r="P6" s="3223"/>
      <c r="Q6" s="3195"/>
      <c r="R6" s="3175"/>
      <c r="S6" s="3176"/>
      <c r="T6" s="3196"/>
      <c r="U6" s="3197"/>
      <c r="V6" s="3198"/>
      <c r="W6" s="3198"/>
      <c r="X6" s="1816"/>
      <c r="Y6" s="3196"/>
      <c r="Z6" s="3197"/>
      <c r="AA6" s="3170"/>
      <c r="AB6" s="3170"/>
      <c r="AC6" s="3219"/>
    </row>
    <row r="7" spans="1:29" s="117" customFormat="1" ht="15.75" thickBot="1">
      <c r="A7" s="408" t="s">
        <v>2549</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5" t="s">
        <v>2550</v>
      </c>
      <c r="Q7" s="3199"/>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5" t="s">
        <v>2553</v>
      </c>
      <c r="Q8" s="3172"/>
      <c r="R8" s="770" t="s">
        <v>17</v>
      </c>
      <c r="S8" s="771">
        <f t="shared" si="0"/>
        <v>0</v>
      </c>
      <c r="T8" s="770" t="s">
        <v>17</v>
      </c>
      <c r="U8" s="771">
        <f t="shared" si="1"/>
        <v>0</v>
      </c>
      <c r="V8" s="770" t="s">
        <v>17</v>
      </c>
      <c r="W8" s="771">
        <f t="shared" si="2"/>
        <v>0</v>
      </c>
      <c r="X8" s="772"/>
      <c r="Y8" s="3171" t="s">
        <v>2553</v>
      </c>
      <c r="Z8" s="3172"/>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2" t="s">
        <v>2561</v>
      </c>
      <c r="Q15" s="1813" t="str">
        <f t="shared" si="6"/>
        <v>办公集聚程度</v>
      </c>
      <c r="R15" s="774" t="s">
        <v>17</v>
      </c>
      <c r="S15" s="775">
        <f t="shared" si="0"/>
        <v>100</v>
      </c>
      <c r="T15" s="774" t="s">
        <v>17</v>
      </c>
      <c r="U15" s="775">
        <f t="shared" si="1"/>
        <v>100</v>
      </c>
      <c r="V15" s="774" t="s">
        <v>17</v>
      </c>
      <c r="W15" s="775">
        <f t="shared" si="2"/>
        <v>100</v>
      </c>
      <c r="X15" s="1816"/>
      <c r="Y15" s="3205"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3"/>
      <c r="Q16" s="1813"/>
      <c r="R16" s="774"/>
      <c r="S16" s="775"/>
      <c r="T16" s="774"/>
      <c r="U16" s="775"/>
      <c r="V16" s="774"/>
      <c r="W16" s="775"/>
      <c r="X16" s="1816"/>
      <c r="Y16" s="3206"/>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3"/>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3"/>
      <c r="Q18" s="1813"/>
      <c r="R18" s="774"/>
      <c r="S18" s="775"/>
      <c r="T18" s="774"/>
      <c r="U18" s="775"/>
      <c r="V18" s="774"/>
      <c r="W18" s="775"/>
      <c r="X18" s="1816"/>
      <c r="Y18" s="3206"/>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3"/>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3"/>
      <c r="Q20" s="1813"/>
      <c r="R20" s="774"/>
      <c r="S20" s="775"/>
      <c r="T20" s="774"/>
      <c r="U20" s="775"/>
      <c r="V20" s="774"/>
      <c r="W20" s="775"/>
      <c r="X20" s="1816"/>
      <c r="Y20" s="3206"/>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3"/>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3"/>
      <c r="Q22" s="1813"/>
      <c r="R22" s="774"/>
      <c r="S22" s="775"/>
      <c r="T22" s="774"/>
      <c r="U22" s="775"/>
      <c r="V22" s="774"/>
      <c r="W22" s="775"/>
      <c r="X22" s="1816"/>
      <c r="Y22" s="3206"/>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3"/>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3"/>
      <c r="Q24" s="1813"/>
      <c r="R24" s="774"/>
      <c r="S24" s="775"/>
      <c r="T24" s="774"/>
      <c r="U24" s="775"/>
      <c r="V24" s="774"/>
      <c r="W24" s="775"/>
      <c r="X24" s="1816"/>
      <c r="Y24" s="3206"/>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3"/>
      <c r="Q25" s="1813" t="str">
        <f>B25</f>
        <v>毗邻道路的类型与等级</v>
      </c>
      <c r="R25" s="774" t="s">
        <v>17</v>
      </c>
      <c r="S25" s="775">
        <f>F25</f>
        <v>100</v>
      </c>
      <c r="T25" s="774" t="s">
        <v>17</v>
      </c>
      <c r="U25" s="775">
        <f>H25</f>
        <v>100</v>
      </c>
      <c r="V25" s="774" t="s">
        <v>17</v>
      </c>
      <c r="W25" s="775">
        <f>J25</f>
        <v>100</v>
      </c>
      <c r="X25" s="1816"/>
      <c r="Y25" s="3206"/>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3"/>
      <c r="Q26" s="1813"/>
      <c r="R26" s="774"/>
      <c r="S26" s="775"/>
      <c r="T26" s="774"/>
      <c r="U26" s="775"/>
      <c r="V26" s="774"/>
      <c r="W26" s="775"/>
      <c r="X26" s="1816"/>
      <c r="Y26" s="3206"/>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3"/>
      <c r="Q27" s="1813" t="str">
        <f t="shared" ref="Q27:Q47" si="11">B27</f>
        <v>楼层</v>
      </c>
      <c r="R27" s="774" t="s">
        <v>17</v>
      </c>
      <c r="S27" s="775">
        <f>F27</f>
        <v>100</v>
      </c>
      <c r="T27" s="774" t="s">
        <v>17</v>
      </c>
      <c r="U27" s="775">
        <f>H27</f>
        <v>100</v>
      </c>
      <c r="V27" s="774" t="s">
        <v>17</v>
      </c>
      <c r="W27" s="775">
        <f>J27</f>
        <v>100</v>
      </c>
      <c r="X27" s="1816"/>
      <c r="Y27" s="3206"/>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3"/>
      <c r="Q28" s="1798" t="str">
        <f t="shared" si="11"/>
        <v>朝向</v>
      </c>
      <c r="R28" s="770" t="s">
        <v>17</v>
      </c>
      <c r="S28" s="771">
        <f>F28</f>
        <v>100</v>
      </c>
      <c r="T28" s="770" t="s">
        <v>17</v>
      </c>
      <c r="U28" s="771">
        <f>H28</f>
        <v>100</v>
      </c>
      <c r="V28" s="770" t="s">
        <v>17</v>
      </c>
      <c r="W28" s="771">
        <f>J28</f>
        <v>100</v>
      </c>
      <c r="X28" s="772"/>
      <c r="Y28" s="3206"/>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3"/>
      <c r="Q29" s="1813">
        <f t="shared" si="11"/>
        <v>111</v>
      </c>
      <c r="R29" s="774" t="s">
        <v>17</v>
      </c>
      <c r="S29" s="775">
        <f t="shared" ref="S29:S47" si="12">F29</f>
        <v>100</v>
      </c>
      <c r="T29" s="774" t="s">
        <v>17</v>
      </c>
      <c r="U29" s="775">
        <f t="shared" ref="U29:U47" si="13">H29</f>
        <v>100</v>
      </c>
      <c r="V29" s="774" t="s">
        <v>17</v>
      </c>
      <c r="W29" s="775">
        <f t="shared" ref="W29:W47" si="14">J29</f>
        <v>100</v>
      </c>
      <c r="X29" s="1816"/>
      <c r="Y29" s="3206"/>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3"/>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3"/>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3"/>
      <c r="Q32" s="1813">
        <f t="shared" si="11"/>
        <v>111</v>
      </c>
      <c r="R32" s="774" t="s">
        <v>17</v>
      </c>
      <c r="S32" s="775">
        <f t="shared" si="12"/>
        <v>100</v>
      </c>
      <c r="T32" s="774" t="s">
        <v>17</v>
      </c>
      <c r="U32" s="775">
        <f t="shared" si="13"/>
        <v>100</v>
      </c>
      <c r="V32" s="774" t="s">
        <v>17</v>
      </c>
      <c r="W32" s="775">
        <f t="shared" si="14"/>
        <v>100</v>
      </c>
      <c r="X32" s="1816"/>
      <c r="Y32" s="3206"/>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7" t="s">
        <v>2566</v>
      </c>
      <c r="Q33" s="1813" t="str">
        <f t="shared" si="11"/>
        <v>建筑类型</v>
      </c>
      <c r="R33" s="774" t="s">
        <v>17</v>
      </c>
      <c r="S33" s="775">
        <f t="shared" si="12"/>
        <v>100</v>
      </c>
      <c r="T33" s="774" t="s">
        <v>17</v>
      </c>
      <c r="U33" s="775">
        <f t="shared" si="13"/>
        <v>100</v>
      </c>
      <c r="V33" s="774" t="s">
        <v>17</v>
      </c>
      <c r="W33" s="775">
        <f t="shared" si="14"/>
        <v>100</v>
      </c>
      <c r="X33" s="1816"/>
      <c r="Y33" s="3210"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8"/>
      <c r="Q35" s="1813" t="str">
        <f t="shared" si="11"/>
        <v>建筑结构</v>
      </c>
      <c r="R35" s="774" t="s">
        <v>17</v>
      </c>
      <c r="S35" s="775">
        <f t="shared" si="12"/>
        <v>100</v>
      </c>
      <c r="T35" s="774" t="s">
        <v>17</v>
      </c>
      <c r="U35" s="775">
        <f t="shared" si="13"/>
        <v>100</v>
      </c>
      <c r="V35" s="774" t="s">
        <v>17</v>
      </c>
      <c r="W35" s="775">
        <f t="shared" si="14"/>
        <v>100</v>
      </c>
      <c r="X35" s="1816"/>
      <c r="Y35" s="3210"/>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8"/>
      <c r="Q36" s="1813" t="str">
        <f t="shared" si="11"/>
        <v>公共部分装修</v>
      </c>
      <c r="R36" s="774" t="s">
        <v>17</v>
      </c>
      <c r="S36" s="775">
        <f t="shared" si="12"/>
        <v>100</v>
      </c>
      <c r="T36" s="774" t="s">
        <v>17</v>
      </c>
      <c r="U36" s="775">
        <f t="shared" si="13"/>
        <v>100</v>
      </c>
      <c r="V36" s="774" t="s">
        <v>17</v>
      </c>
      <c r="W36" s="775">
        <f t="shared" si="14"/>
        <v>100</v>
      </c>
      <c r="X36" s="1816"/>
      <c r="Y36" s="3210"/>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8"/>
      <c r="Q37" s="1813" t="str">
        <f t="shared" si="11"/>
        <v>成新度</v>
      </c>
      <c r="R37" s="774" t="s">
        <v>17</v>
      </c>
      <c r="S37" s="775" t="e">
        <f t="shared" si="12"/>
        <v>#N/A</v>
      </c>
      <c r="T37" s="774" t="s">
        <v>17</v>
      </c>
      <c r="U37" s="775" t="e">
        <f t="shared" si="13"/>
        <v>#N/A</v>
      </c>
      <c r="V37" s="774" t="s">
        <v>17</v>
      </c>
      <c r="W37" s="775" t="e">
        <f t="shared" si="14"/>
        <v>#N/A</v>
      </c>
      <c r="X37" s="1816"/>
      <c r="Y37" s="3210"/>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8"/>
      <c r="Q38" s="1798"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8" t="s">
        <v>2566</v>
      </c>
      <c r="Q39" s="1813" t="str">
        <f t="shared" si="11"/>
        <v>物业管理</v>
      </c>
      <c r="R39" s="774" t="s">
        <v>17</v>
      </c>
      <c r="S39" s="775">
        <f t="shared" si="12"/>
        <v>100</v>
      </c>
      <c r="T39" s="774" t="s">
        <v>17</v>
      </c>
      <c r="U39" s="775">
        <f t="shared" si="13"/>
        <v>100</v>
      </c>
      <c r="V39" s="774" t="s">
        <v>17</v>
      </c>
      <c r="W39" s="775">
        <f t="shared" si="14"/>
        <v>100</v>
      </c>
      <c r="X39" s="1816"/>
      <c r="Y39" s="3210"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8"/>
      <c r="Q40" s="1813" t="str">
        <f t="shared" si="11"/>
        <v>市政基础设施</v>
      </c>
      <c r="R40" s="774" t="s">
        <v>17</v>
      </c>
      <c r="S40" s="775">
        <f t="shared" si="12"/>
        <v>100</v>
      </c>
      <c r="T40" s="774" t="s">
        <v>17</v>
      </c>
      <c r="U40" s="775">
        <f t="shared" si="13"/>
        <v>100</v>
      </c>
      <c r="V40" s="774" t="s">
        <v>17</v>
      </c>
      <c r="W40" s="775">
        <f t="shared" si="14"/>
        <v>100</v>
      </c>
      <c r="X40" s="1816"/>
      <c r="Y40" s="3210"/>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8"/>
      <c r="Q41" s="1813" t="str">
        <f t="shared" si="11"/>
        <v>层高</v>
      </c>
      <c r="R41" s="774" t="s">
        <v>17</v>
      </c>
      <c r="S41" s="775">
        <f t="shared" si="12"/>
        <v>100</v>
      </c>
      <c r="T41" s="774" t="s">
        <v>17</v>
      </c>
      <c r="U41" s="775">
        <f t="shared" si="13"/>
        <v>100</v>
      </c>
      <c r="V41" s="774" t="s">
        <v>17</v>
      </c>
      <c r="W41" s="775">
        <f t="shared" si="14"/>
        <v>100</v>
      </c>
      <c r="X41" s="1816"/>
      <c r="Y41" s="3210"/>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8"/>
      <c r="Q43" s="1813" t="str">
        <f t="shared" si="11"/>
        <v>内部装修</v>
      </c>
      <c r="R43" s="774" t="s">
        <v>17</v>
      </c>
      <c r="S43" s="775">
        <f t="shared" si="12"/>
        <v>100</v>
      </c>
      <c r="T43" s="774" t="s">
        <v>17</v>
      </c>
      <c r="U43" s="775">
        <f t="shared" si="13"/>
        <v>100</v>
      </c>
      <c r="V43" s="774" t="s">
        <v>17</v>
      </c>
      <c r="W43" s="775">
        <f t="shared" si="14"/>
        <v>100</v>
      </c>
      <c r="X43" s="1816"/>
      <c r="Y43" s="3210"/>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8"/>
      <c r="Q44" s="1813" t="str">
        <f t="shared" si="11"/>
        <v>内部装修维护情况</v>
      </c>
      <c r="R44" s="774" t="s">
        <v>17</v>
      </c>
      <c r="S44" s="775">
        <f t="shared" si="12"/>
        <v>100</v>
      </c>
      <c r="T44" s="774" t="s">
        <v>17</v>
      </c>
      <c r="U44" s="775">
        <f t="shared" si="13"/>
        <v>100</v>
      </c>
      <c r="V44" s="774" t="s">
        <v>17</v>
      </c>
      <c r="W44" s="775">
        <f t="shared" si="14"/>
        <v>100</v>
      </c>
      <c r="X44" s="1816"/>
      <c r="Y44" s="3210"/>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8"/>
      <c r="Q45" s="1798">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9"/>
      <c r="Q47" s="1813">
        <f t="shared" si="11"/>
        <v>111</v>
      </c>
      <c r="R47" s="774" t="s">
        <v>17</v>
      </c>
      <c r="S47" s="775">
        <f t="shared" si="12"/>
        <v>100</v>
      </c>
      <c r="T47" s="774" t="s">
        <v>17</v>
      </c>
      <c r="U47" s="775">
        <f t="shared" si="13"/>
        <v>100</v>
      </c>
      <c r="V47" s="774" t="s">
        <v>17</v>
      </c>
      <c r="W47" s="775">
        <f t="shared" si="14"/>
        <v>100</v>
      </c>
      <c r="X47" s="1816"/>
      <c r="Y47" s="3211"/>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185"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26" t="str">
        <f>A50</f>
        <v>估价对象XX用房的比较价值（楼面单价，元/平方米）</v>
      </c>
      <c r="Q50" s="3227"/>
      <c r="R50" s="3228" t="e">
        <f>IF(F1="售价",ROUND(AVERAGE(R49:V49),0),ROUND(AVERAGE(R49:V49),1))</f>
        <v>#DIV/0!</v>
      </c>
      <c r="S50" s="3228"/>
      <c r="T50" s="3228"/>
      <c r="U50" s="3228"/>
      <c r="V50" s="3228"/>
      <c r="W50" s="3228"/>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7397.6099999999988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69" t="s">
        <v>2649</v>
      </c>
      <c r="AC4" s="3168" t="s">
        <v>2650</v>
      </c>
    </row>
    <row r="5" spans="1:29"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2547</v>
      </c>
      <c r="D6" s="3182"/>
      <c r="E6" s="3183" t="s">
        <v>2547</v>
      </c>
      <c r="F6" s="3184"/>
      <c r="G6" s="3181" t="s">
        <v>2547</v>
      </c>
      <c r="H6" s="3182"/>
      <c r="I6" s="3181" t="s">
        <v>2547</v>
      </c>
      <c r="J6" s="3182"/>
      <c r="K6" s="610" t="s">
        <v>2548</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2549</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2550</v>
      </c>
      <c r="Q7" s="3199"/>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5" t="s">
        <v>2561</v>
      </c>
      <c r="Q15" s="1813" t="str">
        <f t="shared" si="6"/>
        <v>产业集聚程度</v>
      </c>
      <c r="R15" s="774" t="s">
        <v>17</v>
      </c>
      <c r="S15" s="775">
        <f t="shared" si="0"/>
        <v>100</v>
      </c>
      <c r="T15" s="774" t="s">
        <v>17</v>
      </c>
      <c r="U15" s="775">
        <f t="shared" si="1"/>
        <v>100</v>
      </c>
      <c r="V15" s="774" t="s">
        <v>17</v>
      </c>
      <c r="W15" s="775">
        <f t="shared" si="2"/>
        <v>100</v>
      </c>
      <c r="X15" s="1816"/>
      <c r="Y15" s="3205"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6"/>
      <c r="Q18" s="1813"/>
      <c r="R18" s="774"/>
      <c r="S18" s="775"/>
      <c r="T18" s="774"/>
      <c r="U18" s="775"/>
      <c r="V18" s="774"/>
      <c r="W18" s="775"/>
      <c r="X18" s="1816"/>
      <c r="Y18" s="3206"/>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6"/>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6"/>
      <c r="Q20" s="1813"/>
      <c r="R20" s="774"/>
      <c r="S20" s="775"/>
      <c r="T20" s="774"/>
      <c r="U20" s="775"/>
      <c r="V20" s="774"/>
      <c r="W20" s="775"/>
      <c r="X20" s="1816"/>
      <c r="Y20" s="3206"/>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6"/>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6"/>
      <c r="Q22" s="1813"/>
      <c r="R22" s="774"/>
      <c r="S22" s="775"/>
      <c r="T22" s="774"/>
      <c r="U22" s="775"/>
      <c r="V22" s="774"/>
      <c r="W22" s="775"/>
      <c r="X22" s="1816"/>
      <c r="Y22" s="3206"/>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6"/>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6"/>
      <c r="Q24" s="1813"/>
      <c r="R24" s="774"/>
      <c r="S24" s="775"/>
      <c r="T24" s="774"/>
      <c r="U24" s="775"/>
      <c r="V24" s="774"/>
      <c r="W24" s="775"/>
      <c r="X24" s="1816"/>
      <c r="Y24" s="320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6"/>
      <c r="Q25" s="1813">
        <f>B25</f>
        <v>111</v>
      </c>
      <c r="R25" s="774" t="s">
        <v>17</v>
      </c>
      <c r="S25" s="775">
        <f>F25</f>
        <v>100</v>
      </c>
      <c r="T25" s="774" t="s">
        <v>17</v>
      </c>
      <c r="U25" s="775">
        <f>H25</f>
        <v>100</v>
      </c>
      <c r="V25" s="774" t="s">
        <v>17</v>
      </c>
      <c r="W25" s="775">
        <f>J25</f>
        <v>100</v>
      </c>
      <c r="X25" s="1816"/>
      <c r="Y25" s="320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6"/>
      <c r="Q26" s="1813">
        <f t="shared" ref="Q26:Q40" si="11">B26</f>
        <v>111</v>
      </c>
      <c r="R26" s="774" t="s">
        <v>17</v>
      </c>
      <c r="S26" s="775">
        <f>F26</f>
        <v>100</v>
      </c>
      <c r="T26" s="774" t="s">
        <v>17</v>
      </c>
      <c r="U26" s="775">
        <f>H26</f>
        <v>100</v>
      </c>
      <c r="V26" s="774" t="s">
        <v>17</v>
      </c>
      <c r="W26" s="775">
        <f>J26</f>
        <v>100</v>
      </c>
      <c r="X26" s="1816"/>
      <c r="Y26" s="320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6"/>
      <c r="Q27" s="1798">
        <f t="shared" si="11"/>
        <v>111</v>
      </c>
      <c r="R27" s="770" t="s">
        <v>17</v>
      </c>
      <c r="S27" s="771">
        <f>F27</f>
        <v>100</v>
      </c>
      <c r="T27" s="770" t="s">
        <v>17</v>
      </c>
      <c r="U27" s="771">
        <f>H27</f>
        <v>100</v>
      </c>
      <c r="V27" s="770" t="s">
        <v>17</v>
      </c>
      <c r="W27" s="771">
        <f>J27</f>
        <v>100</v>
      </c>
      <c r="X27" s="772"/>
      <c r="Y27" s="320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6"/>
      <c r="Q28" s="1813">
        <f t="shared" si="11"/>
        <v>111</v>
      </c>
      <c r="R28" s="774" t="s">
        <v>17</v>
      </c>
      <c r="S28" s="775">
        <f t="shared" ref="S28:S40" si="12">F28</f>
        <v>100</v>
      </c>
      <c r="T28" s="774" t="s">
        <v>17</v>
      </c>
      <c r="U28" s="775">
        <f t="shared" ref="U28:U40" si="13">H28</f>
        <v>100</v>
      </c>
      <c r="V28" s="774" t="s">
        <v>17</v>
      </c>
      <c r="W28" s="775">
        <f t="shared" ref="W28:W40" si="14">J28</f>
        <v>100</v>
      </c>
      <c r="X28" s="1816"/>
      <c r="Y28" s="3206"/>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9" t="s">
        <v>2566</v>
      </c>
      <c r="Q29" s="1813" t="str">
        <f t="shared" si="11"/>
        <v>建筑类型</v>
      </c>
      <c r="R29" s="774" t="s">
        <v>17</v>
      </c>
      <c r="S29" s="775">
        <f t="shared" si="12"/>
        <v>100</v>
      </c>
      <c r="T29" s="774" t="s">
        <v>17</v>
      </c>
      <c r="U29" s="775">
        <f t="shared" si="13"/>
        <v>100</v>
      </c>
      <c r="V29" s="774" t="s">
        <v>17</v>
      </c>
      <c r="W29" s="775">
        <f t="shared" si="14"/>
        <v>100</v>
      </c>
      <c r="X29" s="1816"/>
      <c r="Y29" s="3210"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0"/>
      <c r="Q31" s="1813" t="str">
        <f t="shared" si="11"/>
        <v>建筑结构</v>
      </c>
      <c r="R31" s="774" t="s">
        <v>17</v>
      </c>
      <c r="S31" s="775">
        <f t="shared" si="12"/>
        <v>100</v>
      </c>
      <c r="T31" s="774" t="s">
        <v>17</v>
      </c>
      <c r="U31" s="775">
        <f t="shared" si="13"/>
        <v>100</v>
      </c>
      <c r="V31" s="774" t="s">
        <v>17</v>
      </c>
      <c r="W31" s="775">
        <f t="shared" si="14"/>
        <v>100</v>
      </c>
      <c r="X31" s="1816"/>
      <c r="Y31" s="3210"/>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0"/>
      <c r="Q32" s="1813" t="str">
        <f t="shared" si="11"/>
        <v>公共部分装修</v>
      </c>
      <c r="R32" s="774" t="s">
        <v>17</v>
      </c>
      <c r="S32" s="775">
        <f t="shared" si="12"/>
        <v>100</v>
      </c>
      <c r="T32" s="774" t="s">
        <v>17</v>
      </c>
      <c r="U32" s="775">
        <f t="shared" si="13"/>
        <v>100</v>
      </c>
      <c r="V32" s="774" t="s">
        <v>17</v>
      </c>
      <c r="W32" s="775">
        <f t="shared" si="14"/>
        <v>100</v>
      </c>
      <c r="X32" s="1816"/>
      <c r="Y32" s="3210"/>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0"/>
      <c r="Q33" s="1813" t="str">
        <f t="shared" si="11"/>
        <v>成新度</v>
      </c>
      <c r="R33" s="774" t="s">
        <v>17</v>
      </c>
      <c r="S33" s="775" t="e">
        <f t="shared" si="12"/>
        <v>#N/A</v>
      </c>
      <c r="T33" s="774" t="s">
        <v>17</v>
      </c>
      <c r="U33" s="775" t="e">
        <f t="shared" si="13"/>
        <v>#N/A</v>
      </c>
      <c r="V33" s="774" t="s">
        <v>17</v>
      </c>
      <c r="W33" s="775" t="e">
        <f t="shared" si="14"/>
        <v>#N/A</v>
      </c>
      <c r="X33" s="1816"/>
      <c r="Y33" s="3210"/>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0"/>
      <c r="Q34" s="1798"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0" t="s">
        <v>2566</v>
      </c>
      <c r="Q35" s="1813" t="str">
        <f t="shared" si="11"/>
        <v>市政基础设施</v>
      </c>
      <c r="R35" s="774" t="s">
        <v>17</v>
      </c>
      <c r="S35" s="775">
        <f t="shared" si="12"/>
        <v>100</v>
      </c>
      <c r="T35" s="774" t="s">
        <v>17</v>
      </c>
      <c r="U35" s="775">
        <f t="shared" si="13"/>
        <v>100</v>
      </c>
      <c r="V35" s="774" t="s">
        <v>17</v>
      </c>
      <c r="W35" s="775">
        <f t="shared" si="14"/>
        <v>100</v>
      </c>
      <c r="X35" s="1816"/>
      <c r="Y35" s="3210"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0"/>
      <c r="Q36" s="1813" t="str">
        <f t="shared" si="11"/>
        <v>内部装修</v>
      </c>
      <c r="R36" s="774" t="s">
        <v>17</v>
      </c>
      <c r="S36" s="775">
        <f t="shared" si="12"/>
        <v>100</v>
      </c>
      <c r="T36" s="774" t="s">
        <v>17</v>
      </c>
      <c r="U36" s="775">
        <f t="shared" si="13"/>
        <v>100</v>
      </c>
      <c r="V36" s="774" t="s">
        <v>17</v>
      </c>
      <c r="W36" s="775">
        <f t="shared" si="14"/>
        <v>100</v>
      </c>
      <c r="X36" s="1816"/>
      <c r="Y36" s="3210"/>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0"/>
      <c r="Q37" s="1813" t="str">
        <f t="shared" si="11"/>
        <v>内部装修状况</v>
      </c>
      <c r="R37" s="774" t="s">
        <v>17</v>
      </c>
      <c r="S37" s="775">
        <f t="shared" si="12"/>
        <v>100</v>
      </c>
      <c r="T37" s="774" t="s">
        <v>17</v>
      </c>
      <c r="U37" s="775">
        <f t="shared" si="13"/>
        <v>100</v>
      </c>
      <c r="V37" s="774" t="s">
        <v>17</v>
      </c>
      <c r="W37" s="775">
        <f t="shared" si="14"/>
        <v>100</v>
      </c>
      <c r="X37" s="1816"/>
      <c r="Y37" s="321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0"/>
      <c r="Q39" s="1813">
        <f t="shared" si="11"/>
        <v>111</v>
      </c>
      <c r="R39" s="774" t="s">
        <v>17</v>
      </c>
      <c r="S39" s="775">
        <f t="shared" si="12"/>
        <v>100</v>
      </c>
      <c r="T39" s="774" t="s">
        <v>17</v>
      </c>
      <c r="U39" s="775">
        <f t="shared" si="13"/>
        <v>100</v>
      </c>
      <c r="V39" s="774" t="s">
        <v>17</v>
      </c>
      <c r="W39" s="775">
        <f t="shared" si="14"/>
        <v>100</v>
      </c>
      <c r="X39" s="1816"/>
      <c r="Y39" s="321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1"/>
      <c r="Q40" s="1813">
        <f t="shared" si="11"/>
        <v>111</v>
      </c>
      <c r="R40" s="774" t="s">
        <v>17</v>
      </c>
      <c r="S40" s="775">
        <f t="shared" si="12"/>
        <v>100</v>
      </c>
      <c r="T40" s="774" t="s">
        <v>17</v>
      </c>
      <c r="U40" s="775">
        <f t="shared" si="13"/>
        <v>100</v>
      </c>
      <c r="V40" s="774" t="s">
        <v>17</v>
      </c>
      <c r="W40" s="775">
        <f t="shared" si="14"/>
        <v>100</v>
      </c>
      <c r="X40" s="1816"/>
      <c r="Y40" s="3211"/>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估价对象为房地产，为所有。根据《国有土地使用证》[]，估价对象（分摊）出让国有建设用地使用权面积为14597.18平方米，建筑面积为7397.61平方米。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估价对象为房地产,属开发建设的，该项目尚在开发建设中。根据《国有土地使用证》[]，估价对象（分摊）出让国有建设用地使用权面积为14597.18平方米，规划建筑面积为7397.61平方米。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69" t="s">
        <v>2649</v>
      </c>
      <c r="AC4" s="3168" t="s">
        <v>2650</v>
      </c>
    </row>
    <row r="5" spans="1:29"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2547</v>
      </c>
      <c r="D6" s="3182"/>
      <c r="E6" s="3183" t="s">
        <v>2547</v>
      </c>
      <c r="F6" s="3184"/>
      <c r="G6" s="3181" t="s">
        <v>2547</v>
      </c>
      <c r="H6" s="3182"/>
      <c r="I6" s="3181" t="s">
        <v>2547</v>
      </c>
      <c r="J6" s="3182"/>
      <c r="K6" s="610" t="s">
        <v>2548</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2549</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2550</v>
      </c>
      <c r="Q7" s="3199"/>
      <c r="R7" s="770" t="s">
        <v>17</v>
      </c>
      <c r="S7" s="771">
        <f t="shared" ref="S7:S14" si="0">F7</f>
        <v>0</v>
      </c>
      <c r="T7" s="770" t="s">
        <v>17</v>
      </c>
      <c r="U7" s="771">
        <f t="shared" ref="U7:U14" si="1">H7</f>
        <v>0</v>
      </c>
      <c r="V7" s="770" t="s">
        <v>17</v>
      </c>
      <c r="W7" s="771">
        <f t="shared" ref="W7:W14"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3" t="s">
        <v>2556</v>
      </c>
      <c r="Q9" s="1798"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5" t="s">
        <v>2561</v>
      </c>
      <c r="Q14" s="1813" t="str">
        <f t="shared" si="6"/>
        <v>交通便捷度</v>
      </c>
      <c r="R14" s="774" t="s">
        <v>17</v>
      </c>
      <c r="S14" s="775">
        <f t="shared" si="0"/>
        <v>100</v>
      </c>
      <c r="T14" s="774" t="s">
        <v>17</v>
      </c>
      <c r="U14" s="775">
        <f t="shared" si="1"/>
        <v>100</v>
      </c>
      <c r="V14" s="774" t="s">
        <v>17</v>
      </c>
      <c r="W14" s="775">
        <f t="shared" si="2"/>
        <v>100</v>
      </c>
      <c r="X14" s="1816"/>
      <c r="Y14" s="3205"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6"/>
      <c r="Q15" s="1813"/>
      <c r="R15" s="774"/>
      <c r="S15" s="775"/>
      <c r="T15" s="774"/>
      <c r="U15" s="775"/>
      <c r="V15" s="774"/>
      <c r="W15" s="775"/>
      <c r="X15" s="1816"/>
      <c r="Y15" s="3206"/>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6"/>
      <c r="Q17" s="1813"/>
      <c r="R17" s="774"/>
      <c r="S17" s="775"/>
      <c r="T17" s="774"/>
      <c r="U17" s="775"/>
      <c r="V17" s="774"/>
      <c r="W17" s="775"/>
      <c r="X17" s="1816"/>
      <c r="Y17" s="3206"/>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6"/>
      <c r="Q19" s="1813"/>
      <c r="R19" s="774"/>
      <c r="S19" s="775"/>
      <c r="T19" s="774"/>
      <c r="U19" s="775"/>
      <c r="V19" s="774"/>
      <c r="W19" s="775"/>
      <c r="X19" s="1816"/>
      <c r="Y19" s="3206"/>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6"/>
      <c r="Q21" s="1813"/>
      <c r="R21" s="774"/>
      <c r="S21" s="775"/>
      <c r="T21" s="774"/>
      <c r="U21" s="775"/>
      <c r="V21" s="774"/>
      <c r="W21" s="775"/>
      <c r="X21" s="1816"/>
      <c r="Y21" s="320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6"/>
      <c r="Q24" s="1813">
        <f t="shared" ref="Q24:Q36"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0"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0"/>
      <c r="Q28" s="1813" t="str">
        <f t="shared" si="11"/>
        <v>公共部分装修</v>
      </c>
      <c r="R28" s="774" t="s">
        <v>17</v>
      </c>
      <c r="S28" s="775">
        <f t="shared" si="12"/>
        <v>100</v>
      </c>
      <c r="T28" s="774" t="s">
        <v>17</v>
      </c>
      <c r="U28" s="775">
        <f t="shared" si="13"/>
        <v>100</v>
      </c>
      <c r="V28" s="774" t="s">
        <v>17</v>
      </c>
      <c r="W28" s="775">
        <f t="shared" si="14"/>
        <v>100</v>
      </c>
      <c r="X28" s="1816"/>
      <c r="Y28" s="3210"/>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0"/>
      <c r="Q29" s="1813" t="str">
        <f t="shared" si="11"/>
        <v>成新率</v>
      </c>
      <c r="R29" s="774" t="s">
        <v>17</v>
      </c>
      <c r="S29" s="775" t="e">
        <f t="shared" si="12"/>
        <v>#N/A</v>
      </c>
      <c r="T29" s="774" t="s">
        <v>17</v>
      </c>
      <c r="U29" s="775" t="e">
        <f t="shared" si="13"/>
        <v>#N/A</v>
      </c>
      <c r="V29" s="774" t="s">
        <v>17</v>
      </c>
      <c r="W29" s="775" t="e">
        <f t="shared" si="14"/>
        <v>#N/A</v>
      </c>
      <c r="X29" s="1816"/>
      <c r="Y29" s="3210"/>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0"/>
      <c r="Q30" s="1813" t="str">
        <f t="shared" si="11"/>
        <v>物业等级</v>
      </c>
      <c r="R30" s="774" t="s">
        <v>17</v>
      </c>
      <c r="S30" s="775">
        <f t="shared" si="12"/>
        <v>100</v>
      </c>
      <c r="T30" s="774" t="s">
        <v>17</v>
      </c>
      <c r="U30" s="775">
        <f t="shared" si="13"/>
        <v>100</v>
      </c>
      <c r="V30" s="774" t="s">
        <v>17</v>
      </c>
      <c r="W30" s="775">
        <f t="shared" si="14"/>
        <v>100</v>
      </c>
      <c r="X30" s="1816"/>
      <c r="Y30" s="3210"/>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0"/>
      <c r="Q31" s="1798"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0" t="s">
        <v>2566</v>
      </c>
      <c r="Q32" s="1813" t="str">
        <f t="shared" si="11"/>
        <v>车位类型</v>
      </c>
      <c r="R32" s="774" t="s">
        <v>17</v>
      </c>
      <c r="S32" s="775">
        <f t="shared" si="12"/>
        <v>100</v>
      </c>
      <c r="T32" s="774" t="s">
        <v>17</v>
      </c>
      <c r="U32" s="775">
        <f t="shared" si="13"/>
        <v>100</v>
      </c>
      <c r="V32" s="774" t="s">
        <v>17</v>
      </c>
      <c r="W32" s="775">
        <f t="shared" si="14"/>
        <v>100</v>
      </c>
      <c r="X32" s="1816"/>
      <c r="Y32" s="3210"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0"/>
      <c r="Q33" s="1813" t="str">
        <f t="shared" si="11"/>
        <v>是否直接入户</v>
      </c>
      <c r="R33" s="774" t="s">
        <v>17</v>
      </c>
      <c r="S33" s="775">
        <f t="shared" si="12"/>
        <v>100</v>
      </c>
      <c r="T33" s="774" t="s">
        <v>17</v>
      </c>
      <c r="U33" s="775">
        <f t="shared" si="13"/>
        <v>100</v>
      </c>
      <c r="V33" s="774" t="s">
        <v>17</v>
      </c>
      <c r="W33" s="775">
        <f t="shared" si="14"/>
        <v>100</v>
      </c>
      <c r="X33" s="1816"/>
      <c r="Y33" s="321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0"/>
      <c r="Q36" s="1813">
        <f t="shared" si="11"/>
        <v>111</v>
      </c>
      <c r="R36" s="774" t="s">
        <v>17</v>
      </c>
      <c r="S36" s="775">
        <f t="shared" si="12"/>
        <v>100</v>
      </c>
      <c r="T36" s="774" t="s">
        <v>17</v>
      </c>
      <c r="U36" s="775">
        <f t="shared" si="13"/>
        <v>100</v>
      </c>
      <c r="V36" s="774" t="s">
        <v>17</v>
      </c>
      <c r="W36" s="775">
        <f t="shared" si="14"/>
        <v>100</v>
      </c>
      <c r="X36" s="1816"/>
      <c r="Y36" s="3210"/>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69" t="s">
        <v>2649</v>
      </c>
      <c r="AC4" s="3168" t="s">
        <v>2650</v>
      </c>
    </row>
    <row r="5" spans="1:29"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181" t="s">
        <v>2547</v>
      </c>
      <c r="D6" s="3182"/>
      <c r="E6" s="3183" t="s">
        <v>2547</v>
      </c>
      <c r="F6" s="3184"/>
      <c r="G6" s="3181" t="s">
        <v>2547</v>
      </c>
      <c r="H6" s="3182"/>
      <c r="I6" s="3181" t="s">
        <v>2547</v>
      </c>
      <c r="J6" s="3182"/>
      <c r="K6" s="610" t="s">
        <v>2548</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2549</v>
      </c>
      <c r="B7" s="409"/>
      <c r="C7" s="410">
        <f>'数据-取费表'!B2</f>
        <v>43598</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1" t="s">
        <v>2550</v>
      </c>
      <c r="Q7" s="3199"/>
      <c r="R7" s="770" t="s">
        <v>17</v>
      </c>
      <c r="S7" s="771">
        <f t="shared" ref="S7:S14" si="0">F7</f>
        <v>0</v>
      </c>
      <c r="T7" s="770" t="s">
        <v>17</v>
      </c>
      <c r="U7" s="771">
        <f t="shared" ref="U7:U14" si="1">H7</f>
        <v>0</v>
      </c>
      <c r="V7" s="770" t="s">
        <v>17</v>
      </c>
      <c r="W7" s="771">
        <f t="shared" ref="W7:W14" si="2">J7</f>
        <v>0</v>
      </c>
      <c r="X7" s="772"/>
      <c r="Y7" s="3171" t="s">
        <v>2550</v>
      </c>
      <c r="Z7" s="317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3" t="s">
        <v>2556</v>
      </c>
      <c r="Q9" s="1798" t="str">
        <f t="shared" ref="Q9:Q14" si="6">B9</f>
        <v>用途</v>
      </c>
      <c r="R9" s="770" t="s">
        <v>17</v>
      </c>
      <c r="S9" s="771">
        <f t="shared" si="0"/>
        <v>100</v>
      </c>
      <c r="T9" s="770" t="s">
        <v>17</v>
      </c>
      <c r="U9" s="771">
        <f t="shared" si="1"/>
        <v>100</v>
      </c>
      <c r="V9" s="770" t="s">
        <v>17</v>
      </c>
      <c r="W9" s="771">
        <f t="shared" si="2"/>
        <v>100</v>
      </c>
      <c r="X9" s="772"/>
      <c r="Y9" s="301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5" t="s">
        <v>2561</v>
      </c>
      <c r="Q14" s="1813" t="str">
        <f t="shared" si="6"/>
        <v>交通便捷度</v>
      </c>
      <c r="R14" s="774" t="s">
        <v>17</v>
      </c>
      <c r="S14" s="775">
        <f t="shared" si="0"/>
        <v>100</v>
      </c>
      <c r="T14" s="774" t="s">
        <v>17</v>
      </c>
      <c r="U14" s="775">
        <f t="shared" si="1"/>
        <v>100</v>
      </c>
      <c r="V14" s="774" t="s">
        <v>17</v>
      </c>
      <c r="W14" s="775">
        <f t="shared" si="2"/>
        <v>100</v>
      </c>
      <c r="X14" s="1816"/>
      <c r="Y14" s="320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6"/>
      <c r="Q15" s="1813"/>
      <c r="R15" s="774"/>
      <c r="S15" s="775"/>
      <c r="T15" s="774"/>
      <c r="U15" s="775"/>
      <c r="V15" s="774"/>
      <c r="W15" s="775"/>
      <c r="X15" s="1816"/>
      <c r="Y15" s="3206"/>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6"/>
      <c r="Q17" s="1813"/>
      <c r="R17" s="774"/>
      <c r="S17" s="775"/>
      <c r="T17" s="774"/>
      <c r="U17" s="775"/>
      <c r="V17" s="774"/>
      <c r="W17" s="775"/>
      <c r="X17" s="1816"/>
      <c r="Y17" s="3206"/>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6"/>
      <c r="Q19" s="1813"/>
      <c r="R19" s="774"/>
      <c r="S19" s="775"/>
      <c r="T19" s="774"/>
      <c r="U19" s="775"/>
      <c r="V19" s="774"/>
      <c r="W19" s="775"/>
      <c r="X19" s="1816"/>
      <c r="Y19" s="3206"/>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6"/>
      <c r="Q21" s="1813"/>
      <c r="R21" s="774"/>
      <c r="S21" s="775"/>
      <c r="T21" s="774"/>
      <c r="U21" s="775"/>
      <c r="V21" s="774"/>
      <c r="W21" s="775"/>
      <c r="X21" s="1816"/>
      <c r="Y21" s="320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6"/>
      <c r="Q24" s="1813">
        <f t="shared" ref="Q24:Q34"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9"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0"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0"/>
      <c r="Q28" s="1813" t="str">
        <f t="shared" si="11"/>
        <v>物业等级</v>
      </c>
      <c r="R28" s="774" t="s">
        <v>17</v>
      </c>
      <c r="S28" s="775">
        <f t="shared" si="12"/>
        <v>100</v>
      </c>
      <c r="T28" s="774" t="s">
        <v>17</v>
      </c>
      <c r="U28" s="775">
        <f t="shared" si="13"/>
        <v>100</v>
      </c>
      <c r="V28" s="774" t="s">
        <v>17</v>
      </c>
      <c r="W28" s="775">
        <f t="shared" si="14"/>
        <v>100</v>
      </c>
      <c r="X28" s="1816"/>
      <c r="Y28" s="3210"/>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0"/>
      <c r="Q29" s="1813" t="str">
        <f t="shared" si="11"/>
        <v>有无电梯</v>
      </c>
      <c r="R29" s="774" t="s">
        <v>17</v>
      </c>
      <c r="S29" s="775">
        <f t="shared" si="12"/>
        <v>100</v>
      </c>
      <c r="T29" s="774" t="s">
        <v>17</v>
      </c>
      <c r="U29" s="775">
        <f t="shared" si="13"/>
        <v>100</v>
      </c>
      <c r="V29" s="774" t="s">
        <v>17</v>
      </c>
      <c r="W29" s="775">
        <f t="shared" si="14"/>
        <v>100</v>
      </c>
      <c r="X29" s="1816"/>
      <c r="Y29" s="3210"/>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0"/>
      <c r="Q30" s="1813" t="str">
        <f t="shared" si="11"/>
        <v>建筑面积</v>
      </c>
      <c r="R30" s="774" t="s">
        <v>17</v>
      </c>
      <c r="S30" s="775" t="e">
        <f t="shared" si="12"/>
        <v>#N/A</v>
      </c>
      <c r="T30" s="774" t="s">
        <v>17</v>
      </c>
      <c r="U30" s="775" t="e">
        <f t="shared" si="13"/>
        <v>#N/A</v>
      </c>
      <c r="V30" s="774" t="s">
        <v>17</v>
      </c>
      <c r="W30" s="775" t="e">
        <f t="shared" si="14"/>
        <v>#N/A</v>
      </c>
      <c r="X30" s="1816"/>
      <c r="Y30" s="3210"/>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0"/>
      <c r="Q31" s="1798"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0" t="s">
        <v>2566</v>
      </c>
      <c r="Q32" s="1813">
        <f t="shared" si="11"/>
        <v>111</v>
      </c>
      <c r="R32" s="774" t="s">
        <v>17</v>
      </c>
      <c r="S32" s="775">
        <f t="shared" si="12"/>
        <v>100</v>
      </c>
      <c r="T32" s="774" t="s">
        <v>17</v>
      </c>
      <c r="U32" s="775">
        <f t="shared" si="13"/>
        <v>100</v>
      </c>
      <c r="V32" s="774" t="s">
        <v>17</v>
      </c>
      <c r="W32" s="775">
        <f t="shared" si="14"/>
        <v>100</v>
      </c>
      <c r="X32" s="1816"/>
      <c r="Y32" s="3210"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0"/>
      <c r="Q33" s="1813">
        <f t="shared" si="11"/>
        <v>111</v>
      </c>
      <c r="R33" s="774" t="s">
        <v>17</v>
      </c>
      <c r="S33" s="775">
        <f t="shared" si="12"/>
        <v>100</v>
      </c>
      <c r="T33" s="774" t="s">
        <v>17</v>
      </c>
      <c r="U33" s="775">
        <f t="shared" si="13"/>
        <v>100</v>
      </c>
      <c r="V33" s="774" t="s">
        <v>17</v>
      </c>
      <c r="W33" s="775">
        <f t="shared" si="14"/>
        <v>100</v>
      </c>
      <c r="X33" s="1816"/>
      <c r="Y33" s="321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E7" sqref="E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69" t="s">
        <v>2649</v>
      </c>
      <c r="AC4" s="3168" t="s">
        <v>2650</v>
      </c>
    </row>
    <row r="5" spans="1:30"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69"/>
      <c r="AC5" s="3169"/>
    </row>
    <row r="6" spans="1:30" ht="15.75" thickBot="1">
      <c r="A6" s="406"/>
      <c r="B6" s="407"/>
      <c r="C6" s="3181" t="s">
        <v>2547</v>
      </c>
      <c r="D6" s="3182"/>
      <c r="E6" s="3183" t="s">
        <v>2547</v>
      </c>
      <c r="F6" s="3184"/>
      <c r="G6" s="3181" t="s">
        <v>2547</v>
      </c>
      <c r="H6" s="3182"/>
      <c r="I6" s="3181" t="s">
        <v>2547</v>
      </c>
      <c r="J6" s="3182"/>
      <c r="K6" s="610" t="s">
        <v>2548</v>
      </c>
      <c r="L6" s="1133"/>
      <c r="M6" s="1134"/>
      <c r="N6" s="1134"/>
      <c r="O6" s="1134"/>
      <c r="P6" s="3194"/>
      <c r="Q6" s="3195"/>
      <c r="R6" s="3175"/>
      <c r="S6" s="3176"/>
      <c r="T6" s="3196"/>
      <c r="U6" s="3197"/>
      <c r="V6" s="3198"/>
      <c r="W6" s="3198"/>
      <c r="X6" s="1816"/>
      <c r="Y6" s="3196"/>
      <c r="Z6" s="3197"/>
      <c r="AA6" s="3170"/>
      <c r="AB6" s="3170"/>
      <c r="AC6" s="3170"/>
    </row>
    <row r="7" spans="1:30" s="117" customFormat="1" ht="15.75" thickBot="1">
      <c r="A7" s="408" t="s">
        <v>2549</v>
      </c>
      <c r="B7" s="409"/>
      <c r="C7" s="410">
        <f>'数据-取费表'!B2</f>
        <v>43598</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1" t="s">
        <v>2550</v>
      </c>
      <c r="Q7" s="3199"/>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3"/>
      <c r="Q10" s="1798"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5" t="s">
        <v>2561</v>
      </c>
      <c r="Q15" s="1813" t="str">
        <f t="shared" si="6"/>
        <v>居住社区成熟度</v>
      </c>
      <c r="R15" s="774" t="s">
        <v>17</v>
      </c>
      <c r="S15" s="775">
        <f t="shared" si="0"/>
        <v>100</v>
      </c>
      <c r="T15" s="774" t="s">
        <v>17</v>
      </c>
      <c r="U15" s="775">
        <f t="shared" si="1"/>
        <v>100</v>
      </c>
      <c r="V15" s="774" t="s">
        <v>17</v>
      </c>
      <c r="W15" s="775">
        <f t="shared" si="2"/>
        <v>100</v>
      </c>
      <c r="X15" s="1816"/>
      <c r="Y15" s="3205"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6"/>
      <c r="Q17" s="1813" t="str">
        <f>B17</f>
        <v>商业繁华度</v>
      </c>
      <c r="R17" s="774" t="s">
        <v>17</v>
      </c>
      <c r="S17" s="775">
        <f>F17</f>
        <v>100</v>
      </c>
      <c r="T17" s="774" t="s">
        <v>17</v>
      </c>
      <c r="U17" s="775">
        <f>H17</f>
        <v>100</v>
      </c>
      <c r="V17" s="774" t="s">
        <v>17</v>
      </c>
      <c r="W17" s="775">
        <f>J17</f>
        <v>100</v>
      </c>
      <c r="X17" s="1816"/>
      <c r="Y17" s="320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6"/>
      <c r="Q19" s="1813" t="str">
        <f>B19</f>
        <v>办公集聚程度</v>
      </c>
      <c r="R19" s="774" t="s">
        <v>17</v>
      </c>
      <c r="S19" s="775">
        <f>F19</f>
        <v>100</v>
      </c>
      <c r="T19" s="774" t="s">
        <v>17</v>
      </c>
      <c r="U19" s="775">
        <f>H19</f>
        <v>100</v>
      </c>
      <c r="V19" s="774" t="s">
        <v>17</v>
      </c>
      <c r="W19" s="775">
        <f>J19</f>
        <v>100</v>
      </c>
      <c r="X19" s="1816"/>
      <c r="Y19" s="320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6"/>
      <c r="Q20" s="1813"/>
      <c r="R20" s="774"/>
      <c r="S20" s="775"/>
      <c r="T20" s="774"/>
      <c r="U20" s="775"/>
      <c r="V20" s="774"/>
      <c r="W20" s="775"/>
      <c r="X20" s="1816"/>
      <c r="Y20" s="3206"/>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6"/>
      <c r="Q21" s="1813" t="str">
        <f>B21</f>
        <v>交通便捷度</v>
      </c>
      <c r="R21" s="774" t="s">
        <v>17</v>
      </c>
      <c r="S21" s="775">
        <f>F21</f>
        <v>100</v>
      </c>
      <c r="T21" s="774" t="s">
        <v>17</v>
      </c>
      <c r="U21" s="775">
        <f>H21</f>
        <v>100</v>
      </c>
      <c r="V21" s="774" t="s">
        <v>17</v>
      </c>
      <c r="W21" s="775">
        <f>J21</f>
        <v>100</v>
      </c>
      <c r="X21" s="1816"/>
      <c r="Y21" s="3206"/>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6"/>
      <c r="Q23" s="1813" t="str">
        <f t="shared" ref="Q23:Q37" si="8">B23</f>
        <v>区域土地利用方向</v>
      </c>
      <c r="R23" s="774" t="s">
        <v>17</v>
      </c>
      <c r="S23" s="775">
        <f>F23</f>
        <v>100</v>
      </c>
      <c r="T23" s="774" t="s">
        <v>17</v>
      </c>
      <c r="U23" s="775">
        <f>H23</f>
        <v>100</v>
      </c>
      <c r="V23" s="774" t="s">
        <v>17</v>
      </c>
      <c r="W23" s="775">
        <f>J23</f>
        <v>100</v>
      </c>
      <c r="X23" s="1816"/>
      <c r="Y23" s="320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6"/>
      <c r="Q24" s="1813"/>
      <c r="R24" s="774"/>
      <c r="S24" s="775"/>
      <c r="T24" s="774"/>
      <c r="U24" s="775"/>
      <c r="V24" s="774"/>
      <c r="W24" s="775"/>
      <c r="X24" s="1816"/>
      <c r="Y24" s="3206"/>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6"/>
      <c r="Q25" s="1813" t="str">
        <f t="shared" si="8"/>
        <v>自然及人文环境状况</v>
      </c>
      <c r="R25" s="774" t="s">
        <v>17</v>
      </c>
      <c r="S25" s="775">
        <f>F25</f>
        <v>100</v>
      </c>
      <c r="T25" s="774" t="s">
        <v>17</v>
      </c>
      <c r="U25" s="775">
        <f>H25</f>
        <v>100</v>
      </c>
      <c r="V25" s="774" t="s">
        <v>17</v>
      </c>
      <c r="W25" s="775">
        <f>J25</f>
        <v>100</v>
      </c>
      <c r="X25" s="1816"/>
      <c r="Y25" s="320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6"/>
      <c r="Q26" s="1813"/>
      <c r="R26" s="774"/>
      <c r="S26" s="775"/>
      <c r="T26" s="774"/>
      <c r="U26" s="775"/>
      <c r="V26" s="774"/>
      <c r="W26" s="775"/>
      <c r="X26" s="1816"/>
      <c r="Y26" s="3206"/>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6"/>
      <c r="Q27" s="1798" t="str">
        <f t="shared" si="8"/>
        <v>公共配套设施</v>
      </c>
      <c r="R27" s="770" t="s">
        <v>17</v>
      </c>
      <c r="S27" s="771">
        <f>F27</f>
        <v>100</v>
      </c>
      <c r="T27" s="770" t="s">
        <v>17</v>
      </c>
      <c r="U27" s="771">
        <f>H27</f>
        <v>100</v>
      </c>
      <c r="V27" s="770" t="s">
        <v>17</v>
      </c>
      <c r="W27" s="771">
        <f>J27</f>
        <v>100</v>
      </c>
      <c r="X27" s="772"/>
      <c r="Y27" s="3206"/>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6"/>
      <c r="Q28" s="1798"/>
      <c r="R28" s="770"/>
      <c r="S28" s="771"/>
      <c r="T28" s="770"/>
      <c r="U28" s="771"/>
      <c r="V28" s="770"/>
      <c r="W28" s="771"/>
      <c r="X28" s="772"/>
      <c r="Y28" s="3206"/>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6"/>
      <c r="Q29" s="1798"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6"/>
      <c r="Q30" s="1798"/>
      <c r="R30" s="770"/>
      <c r="S30" s="771"/>
      <c r="T30" s="770"/>
      <c r="U30" s="771"/>
      <c r="V30" s="770"/>
      <c r="W30" s="771"/>
      <c r="X30" s="772"/>
      <c r="Y30" s="3206"/>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6"/>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6"/>
      <c r="Q32" s="1813" t="str">
        <f t="shared" si="8"/>
        <v>毗邻道路的类型与等级</v>
      </c>
      <c r="R32" s="774" t="s">
        <v>17</v>
      </c>
      <c r="S32" s="775">
        <f t="shared" si="10"/>
        <v>100</v>
      </c>
      <c r="T32" s="774" t="s">
        <v>17</v>
      </c>
      <c r="U32" s="775">
        <f t="shared" si="11"/>
        <v>100</v>
      </c>
      <c r="V32" s="774" t="s">
        <v>17</v>
      </c>
      <c r="W32" s="775">
        <f t="shared" si="12"/>
        <v>100</v>
      </c>
      <c r="X32" s="1816"/>
      <c r="Y32" s="320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6"/>
      <c r="Q33" s="1813"/>
      <c r="R33" s="774"/>
      <c r="S33" s="775"/>
      <c r="T33" s="774"/>
      <c r="U33" s="775"/>
      <c r="V33" s="774"/>
      <c r="W33" s="775"/>
      <c r="X33" s="1816"/>
      <c r="Y33" s="3206"/>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6"/>
      <c r="Q34" s="1813" t="str">
        <f t="shared" si="8"/>
        <v>土地级别</v>
      </c>
      <c r="R34" s="774" t="s">
        <v>17</v>
      </c>
      <c r="S34" s="775">
        <f t="shared" si="10"/>
        <v>100</v>
      </c>
      <c r="T34" s="774" t="s">
        <v>17</v>
      </c>
      <c r="U34" s="775">
        <f t="shared" si="11"/>
        <v>100</v>
      </c>
      <c r="V34" s="774" t="s">
        <v>17</v>
      </c>
      <c r="W34" s="775">
        <f t="shared" si="12"/>
        <v>100</v>
      </c>
      <c r="X34" s="1816"/>
      <c r="Y34" s="320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6"/>
      <c r="Q35" s="1813">
        <f t="shared" si="8"/>
        <v>111</v>
      </c>
      <c r="R35" s="774" t="s">
        <v>17</v>
      </c>
      <c r="S35" s="775">
        <f t="shared" si="10"/>
        <v>100</v>
      </c>
      <c r="T35" s="774" t="s">
        <v>17</v>
      </c>
      <c r="U35" s="775">
        <f t="shared" si="11"/>
        <v>100</v>
      </c>
      <c r="V35" s="774" t="s">
        <v>17</v>
      </c>
      <c r="W35" s="775">
        <f t="shared" si="12"/>
        <v>100</v>
      </c>
      <c r="X35" s="1816"/>
      <c r="Y35" s="320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2566</v>
      </c>
      <c r="Q36" s="1813">
        <f t="shared" si="8"/>
        <v>111</v>
      </c>
      <c r="R36" s="774" t="s">
        <v>17</v>
      </c>
      <c r="S36" s="775">
        <f t="shared" si="10"/>
        <v>100</v>
      </c>
      <c r="T36" s="774" t="s">
        <v>17</v>
      </c>
      <c r="U36" s="775">
        <f t="shared" si="11"/>
        <v>100</v>
      </c>
      <c r="V36" s="774" t="s">
        <v>17</v>
      </c>
      <c r="W36" s="775">
        <f t="shared" si="12"/>
        <v>100</v>
      </c>
      <c r="X36" s="1816"/>
      <c r="Y36" s="3210"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0"/>
      <c r="Q37" s="1813">
        <f t="shared" si="8"/>
        <v>111</v>
      </c>
      <c r="R37" s="777" t="s">
        <v>17</v>
      </c>
      <c r="S37" s="778">
        <f t="shared" si="10"/>
        <v>100</v>
      </c>
      <c r="T37" s="777" t="s">
        <v>17</v>
      </c>
      <c r="U37" s="778">
        <f t="shared" si="11"/>
        <v>100</v>
      </c>
      <c r="V37" s="777" t="s">
        <v>17</v>
      </c>
      <c r="W37" s="778">
        <f t="shared" si="12"/>
        <v>100</v>
      </c>
      <c r="X37" s="779"/>
      <c r="Y37" s="3210"/>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0"/>
      <c r="Q38" s="1813" t="str">
        <f>B38</f>
        <v>宗地面积</v>
      </c>
      <c r="R38" s="774" t="s">
        <v>17</v>
      </c>
      <c r="S38" s="775" t="e">
        <f t="shared" si="10"/>
        <v>#N/A</v>
      </c>
      <c r="T38" s="774" t="s">
        <v>17</v>
      </c>
      <c r="U38" s="775" t="e">
        <f t="shared" si="11"/>
        <v>#N/A</v>
      </c>
      <c r="V38" s="774" t="s">
        <v>17</v>
      </c>
      <c r="W38" s="775" t="e">
        <f t="shared" si="12"/>
        <v>#N/A</v>
      </c>
      <c r="X38" s="1816"/>
      <c r="Y38" s="3210"/>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10"/>
      <c r="Q39" s="1813" t="str">
        <f t="shared" ref="Q39:Q45" si="14">B39</f>
        <v>宗地形状</v>
      </c>
      <c r="R39" s="774" t="s">
        <v>17</v>
      </c>
      <c r="S39" s="775">
        <f t="shared" si="10"/>
        <v>100</v>
      </c>
      <c r="T39" s="774" t="s">
        <v>17</v>
      </c>
      <c r="U39" s="775">
        <f t="shared" si="11"/>
        <v>100</v>
      </c>
      <c r="V39" s="774" t="s">
        <v>17</v>
      </c>
      <c r="W39" s="775">
        <f t="shared" si="12"/>
        <v>100</v>
      </c>
      <c r="X39" s="1816"/>
      <c r="Y39" s="3210"/>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10"/>
      <c r="Q40" s="1813" t="str">
        <f t="shared" si="14"/>
        <v>临街宽度及深度</v>
      </c>
      <c r="R40" s="774" t="s">
        <v>17</v>
      </c>
      <c r="S40" s="775">
        <f t="shared" si="10"/>
        <v>100</v>
      </c>
      <c r="T40" s="774" t="s">
        <v>17</v>
      </c>
      <c r="U40" s="775">
        <f t="shared" si="11"/>
        <v>100</v>
      </c>
      <c r="V40" s="774" t="s">
        <v>17</v>
      </c>
      <c r="W40" s="775">
        <f t="shared" si="12"/>
        <v>100</v>
      </c>
      <c r="X40" s="1816"/>
      <c r="Y40" s="3210"/>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10"/>
      <c r="Q41" s="1813"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10" t="s">
        <v>2566</v>
      </c>
      <c r="Q42" s="1813" t="str">
        <f t="shared" si="14"/>
        <v>工程地质条件</v>
      </c>
      <c r="R42" s="774" t="s">
        <v>17</v>
      </c>
      <c r="S42" s="775">
        <f t="shared" si="10"/>
        <v>100</v>
      </c>
      <c r="T42" s="774" t="s">
        <v>17</v>
      </c>
      <c r="U42" s="775">
        <f t="shared" si="11"/>
        <v>100</v>
      </c>
      <c r="V42" s="774" t="s">
        <v>17</v>
      </c>
      <c r="W42" s="775">
        <f t="shared" si="12"/>
        <v>100</v>
      </c>
      <c r="X42" s="1816"/>
      <c r="Y42" s="3210"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0"/>
      <c r="Q43" s="1813">
        <f t="shared" si="14"/>
        <v>111</v>
      </c>
      <c r="R43" s="774" t="s">
        <v>17</v>
      </c>
      <c r="S43" s="775">
        <f t="shared" si="10"/>
        <v>100</v>
      </c>
      <c r="T43" s="774" t="s">
        <v>17</v>
      </c>
      <c r="U43" s="775">
        <f t="shared" si="11"/>
        <v>100</v>
      </c>
      <c r="V43" s="774" t="s">
        <v>17</v>
      </c>
      <c r="W43" s="775">
        <f t="shared" si="12"/>
        <v>100</v>
      </c>
      <c r="X43" s="1816"/>
      <c r="Y43" s="321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0"/>
      <c r="Q44" s="1813">
        <f t="shared" si="14"/>
        <v>111</v>
      </c>
      <c r="R44" s="774" t="s">
        <v>17</v>
      </c>
      <c r="S44" s="775">
        <f t="shared" si="10"/>
        <v>100</v>
      </c>
      <c r="T44" s="774" t="s">
        <v>17</v>
      </c>
      <c r="U44" s="775">
        <f t="shared" si="11"/>
        <v>100</v>
      </c>
      <c r="V44" s="774" t="s">
        <v>17</v>
      </c>
      <c r="W44" s="775">
        <f t="shared" si="12"/>
        <v>100</v>
      </c>
      <c r="X44" s="1816"/>
      <c r="Y44" s="3210"/>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0"/>
      <c r="Q45" s="1813">
        <f t="shared" si="14"/>
        <v>111</v>
      </c>
      <c r="R45" s="777" t="s">
        <v>17</v>
      </c>
      <c r="S45" s="778">
        <f t="shared" si="10"/>
        <v>100</v>
      </c>
      <c r="T45" s="777" t="s">
        <v>17</v>
      </c>
      <c r="U45" s="778">
        <f t="shared" si="11"/>
        <v>100</v>
      </c>
      <c r="V45" s="777" t="s">
        <v>17</v>
      </c>
      <c r="W45" s="778">
        <f t="shared" si="12"/>
        <v>100</v>
      </c>
      <c r="X45" s="779"/>
      <c r="Y45" s="3210"/>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03" t="str">
        <f>A46</f>
        <v>成交单价</v>
      </c>
      <c r="Q46" s="3203"/>
      <c r="R46" s="3198">
        <f>E46</f>
        <v>0</v>
      </c>
      <c r="S46" s="3198"/>
      <c r="T46" s="3198">
        <f>G46</f>
        <v>0</v>
      </c>
      <c r="U46" s="3198"/>
      <c r="V46" s="3198">
        <f>I46</f>
        <v>0</v>
      </c>
      <c r="W46" s="319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3" t="str">
        <f>A47</f>
        <v>比较价值（元/平方米）</v>
      </c>
      <c r="Q47" s="3203"/>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00" t="str">
        <f>A48</f>
        <v>估价对象XX用房的比较价值（楼面单价，元/平方米）</v>
      </c>
      <c r="Q48" s="3201"/>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186" t="s">
        <v>2765</v>
      </c>
      <c r="H55" s="3232"/>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7397.6099999999988</v>
      </c>
      <c r="F56" s="1106" t="e">
        <f t="shared" ref="F56:F65" si="15">ROUND(B56*E56/10000,0)</f>
        <v>#DIV/0!</v>
      </c>
      <c r="G56" s="3185"/>
      <c r="H56" s="3203"/>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7397.6099999999988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173" t="s">
        <v>2648</v>
      </c>
      <c r="S4" s="3174"/>
      <c r="T4" s="3173" t="s">
        <v>2649</v>
      </c>
      <c r="U4" s="3174"/>
      <c r="V4" s="3198" t="s">
        <v>2650</v>
      </c>
      <c r="W4" s="3198"/>
      <c r="X4" s="1816"/>
      <c r="Y4" s="3173" t="s">
        <v>2652</v>
      </c>
      <c r="Z4" s="3174"/>
      <c r="AA4" s="3168" t="s">
        <v>2648</v>
      </c>
      <c r="AB4" s="3169" t="s">
        <v>2649</v>
      </c>
      <c r="AC4" s="3168" t="s">
        <v>2650</v>
      </c>
    </row>
    <row r="5" spans="1:29" ht="15">
      <c r="A5" s="404"/>
      <c r="B5" s="405"/>
      <c r="C5" s="3179" t="s">
        <v>2543</v>
      </c>
      <c r="D5" s="3180"/>
      <c r="E5" s="3177" t="s">
        <v>2544</v>
      </c>
      <c r="F5" s="3178"/>
      <c r="G5" s="3179" t="s">
        <v>2545</v>
      </c>
      <c r="H5" s="3180"/>
      <c r="I5" s="3179" t="s">
        <v>2546</v>
      </c>
      <c r="J5" s="3180"/>
      <c r="K5" s="610"/>
      <c r="L5" s="1133"/>
      <c r="M5" s="1134"/>
      <c r="N5" s="1134"/>
      <c r="O5" s="1134"/>
      <c r="P5" s="3192"/>
      <c r="Q5" s="3193"/>
      <c r="R5" s="3175"/>
      <c r="S5" s="3176"/>
      <c r="T5" s="3175"/>
      <c r="U5" s="3176"/>
      <c r="V5" s="3198"/>
      <c r="W5" s="3198"/>
      <c r="X5" s="1816"/>
      <c r="Y5" s="3175"/>
      <c r="Z5" s="3176"/>
      <c r="AA5" s="3169"/>
      <c r="AB5" s="3169"/>
      <c r="AC5" s="3169"/>
    </row>
    <row r="6" spans="1:29" ht="15.75" thickBot="1">
      <c r="A6" s="406"/>
      <c r="B6" s="407"/>
      <c r="C6" s="3234" t="s">
        <v>2798</v>
      </c>
      <c r="D6" s="3235"/>
      <c r="E6" s="3236" t="s">
        <v>2798</v>
      </c>
      <c r="F6" s="3237"/>
      <c r="G6" s="3234" t="s">
        <v>2798</v>
      </c>
      <c r="H6" s="3235"/>
      <c r="I6" s="3234" t="s">
        <v>2798</v>
      </c>
      <c r="J6" s="3235"/>
      <c r="K6" s="610" t="s">
        <v>2548</v>
      </c>
      <c r="L6" s="1133"/>
      <c r="M6" s="1134"/>
      <c r="N6" s="1134"/>
      <c r="O6" s="1134"/>
      <c r="P6" s="3194"/>
      <c r="Q6" s="3195"/>
      <c r="R6" s="3175"/>
      <c r="S6" s="3176"/>
      <c r="T6" s="3196"/>
      <c r="U6" s="3197"/>
      <c r="V6" s="3198"/>
      <c r="W6" s="3198"/>
      <c r="X6" s="1816"/>
      <c r="Y6" s="3196"/>
      <c r="Z6" s="3197"/>
      <c r="AA6" s="3170"/>
      <c r="AB6" s="3170"/>
      <c r="AC6" s="3170"/>
    </row>
    <row r="7" spans="1:29" s="117" customFormat="1" ht="15.75" thickBot="1">
      <c r="A7" s="408" t="s">
        <v>2549</v>
      </c>
      <c r="B7" s="409"/>
      <c r="C7" s="410">
        <f>'数据-取费表'!B2</f>
        <v>43598</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1" t="s">
        <v>2550</v>
      </c>
      <c r="Q7" s="3199"/>
      <c r="R7" s="770" t="s">
        <v>17</v>
      </c>
      <c r="S7" s="771">
        <f t="shared" ref="S7:S15" si="0">F7</f>
        <v>0</v>
      </c>
      <c r="T7" s="770" t="s">
        <v>17</v>
      </c>
      <c r="U7" s="771">
        <f t="shared" ref="U7:U15" si="1">H7</f>
        <v>0</v>
      </c>
      <c r="V7" s="770" t="s">
        <v>17</v>
      </c>
      <c r="W7" s="771">
        <f t="shared" ref="W7:W15" si="2">J7</f>
        <v>0</v>
      </c>
      <c r="X7" s="772"/>
      <c r="Y7" s="3171" t="s">
        <v>2550</v>
      </c>
      <c r="Z7" s="317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2553</v>
      </c>
      <c r="Q8" s="3172"/>
      <c r="R8" s="770" t="s">
        <v>17</v>
      </c>
      <c r="S8" s="771">
        <f t="shared" si="0"/>
        <v>0</v>
      </c>
      <c r="T8" s="770" t="s">
        <v>17</v>
      </c>
      <c r="U8" s="771">
        <f t="shared" si="1"/>
        <v>0</v>
      </c>
      <c r="V8" s="770" t="s">
        <v>17</v>
      </c>
      <c r="W8" s="771">
        <f t="shared" si="2"/>
        <v>0</v>
      </c>
      <c r="X8" s="772"/>
      <c r="Y8" s="3171" t="s">
        <v>2553</v>
      </c>
      <c r="Z8" s="3172"/>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3" t="s">
        <v>2556</v>
      </c>
      <c r="Q9" s="1798" t="str">
        <f t="shared" ref="Q9:Q15" si="6">B9</f>
        <v>用途</v>
      </c>
      <c r="R9" s="770" t="s">
        <v>17</v>
      </c>
      <c r="S9" s="771">
        <f t="shared" si="0"/>
        <v>100</v>
      </c>
      <c r="T9" s="770" t="s">
        <v>17</v>
      </c>
      <c r="U9" s="771">
        <f t="shared" si="1"/>
        <v>100</v>
      </c>
      <c r="V9" s="770" t="s">
        <v>17</v>
      </c>
      <c r="W9" s="771">
        <f t="shared" si="2"/>
        <v>100</v>
      </c>
      <c r="X9" s="772"/>
      <c r="Y9" s="301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3"/>
      <c r="Q10" s="1798"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5" t="s">
        <v>2561</v>
      </c>
      <c r="Q15" s="1813" t="str">
        <f t="shared" si="6"/>
        <v>产业集聚程度</v>
      </c>
      <c r="R15" s="774" t="s">
        <v>17</v>
      </c>
      <c r="S15" s="775">
        <f t="shared" si="0"/>
        <v>100</v>
      </c>
      <c r="T15" s="774" t="s">
        <v>17</v>
      </c>
      <c r="U15" s="775">
        <f t="shared" si="1"/>
        <v>100</v>
      </c>
      <c r="V15" s="774" t="s">
        <v>17</v>
      </c>
      <c r="W15" s="775">
        <f t="shared" si="2"/>
        <v>100</v>
      </c>
      <c r="X15" s="1816"/>
      <c r="Y15" s="3205"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6"/>
      <c r="Q19" s="1813" t="str">
        <f t="shared" ref="Q19:Q33" si="8">B19</f>
        <v>区域土地利用方向</v>
      </c>
      <c r="R19" s="774" t="s">
        <v>17</v>
      </c>
      <c r="S19" s="775">
        <f>F19</f>
        <v>100</v>
      </c>
      <c r="T19" s="774" t="s">
        <v>17</v>
      </c>
      <c r="U19" s="775">
        <f>H19</f>
        <v>100</v>
      </c>
      <c r="V19" s="774" t="s">
        <v>17</v>
      </c>
      <c r="W19" s="775">
        <f>J19</f>
        <v>100</v>
      </c>
      <c r="X19" s="1816"/>
      <c r="Y19" s="320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6"/>
      <c r="Q20" s="1813"/>
      <c r="R20" s="774"/>
      <c r="S20" s="775"/>
      <c r="T20" s="774"/>
      <c r="U20" s="775"/>
      <c r="V20" s="774"/>
      <c r="W20" s="775"/>
      <c r="X20" s="1816"/>
      <c r="Y20" s="3206"/>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6"/>
      <c r="Q21" s="1813" t="str">
        <f t="shared" si="8"/>
        <v>环境状况</v>
      </c>
      <c r="R21" s="774" t="s">
        <v>17</v>
      </c>
      <c r="S21" s="775">
        <f>F21</f>
        <v>100</v>
      </c>
      <c r="T21" s="774" t="s">
        <v>17</v>
      </c>
      <c r="U21" s="775">
        <f>H21</f>
        <v>100</v>
      </c>
      <c r="V21" s="774" t="s">
        <v>17</v>
      </c>
      <c r="W21" s="775">
        <f>J21</f>
        <v>100</v>
      </c>
      <c r="X21" s="1816"/>
      <c r="Y21" s="320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6"/>
      <c r="Q23" s="1798" t="str">
        <f t="shared" si="8"/>
        <v>公共配套设施</v>
      </c>
      <c r="R23" s="770" t="s">
        <v>17</v>
      </c>
      <c r="S23" s="771">
        <f>F23</f>
        <v>100</v>
      </c>
      <c r="T23" s="770" t="s">
        <v>17</v>
      </c>
      <c r="U23" s="771">
        <f>H23</f>
        <v>100</v>
      </c>
      <c r="V23" s="770" t="s">
        <v>17</v>
      </c>
      <c r="W23" s="771">
        <f>J23</f>
        <v>100</v>
      </c>
      <c r="X23" s="772"/>
      <c r="Y23" s="3206"/>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6"/>
      <c r="Q24" s="1798"/>
      <c r="R24" s="770"/>
      <c r="S24" s="771"/>
      <c r="T24" s="770"/>
      <c r="U24" s="771"/>
      <c r="V24" s="770"/>
      <c r="W24" s="771"/>
      <c r="X24" s="772"/>
      <c r="Y24" s="3206"/>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6"/>
      <c r="Q25" s="1798"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6"/>
      <c r="Q26" s="1798"/>
      <c r="R26" s="770"/>
      <c r="S26" s="771"/>
      <c r="T26" s="770"/>
      <c r="U26" s="771"/>
      <c r="V26" s="770"/>
      <c r="W26" s="771"/>
      <c r="X26" s="772"/>
      <c r="Y26" s="320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6"/>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6"/>
      <c r="Q28" s="1813" t="str">
        <f t="shared" si="8"/>
        <v>毗邻道路的类型与等级</v>
      </c>
      <c r="R28" s="774" t="s">
        <v>17</v>
      </c>
      <c r="S28" s="775">
        <f t="shared" si="10"/>
        <v>100</v>
      </c>
      <c r="T28" s="774" t="s">
        <v>17</v>
      </c>
      <c r="U28" s="775">
        <f t="shared" si="11"/>
        <v>100</v>
      </c>
      <c r="V28" s="774" t="s">
        <v>17</v>
      </c>
      <c r="W28" s="775">
        <f t="shared" si="12"/>
        <v>100</v>
      </c>
      <c r="X28" s="1816"/>
      <c r="Y28" s="320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6"/>
      <c r="Q29" s="1813"/>
      <c r="R29" s="774"/>
      <c r="S29" s="775"/>
      <c r="T29" s="774"/>
      <c r="U29" s="775"/>
      <c r="V29" s="774"/>
      <c r="W29" s="775"/>
      <c r="X29" s="1816"/>
      <c r="Y29" s="320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6"/>
      <c r="Q30" s="1813" t="str">
        <f t="shared" si="8"/>
        <v>土地级别</v>
      </c>
      <c r="R30" s="774" t="s">
        <v>17</v>
      </c>
      <c r="S30" s="775">
        <f t="shared" si="10"/>
        <v>100</v>
      </c>
      <c r="T30" s="774" t="s">
        <v>17</v>
      </c>
      <c r="U30" s="775">
        <f t="shared" si="11"/>
        <v>100</v>
      </c>
      <c r="V30" s="774" t="s">
        <v>17</v>
      </c>
      <c r="W30" s="775">
        <f t="shared" si="12"/>
        <v>100</v>
      </c>
      <c r="X30" s="1816"/>
      <c r="Y30" s="320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6"/>
      <c r="Q31" s="1813">
        <f t="shared" si="8"/>
        <v>111</v>
      </c>
      <c r="R31" s="774" t="s">
        <v>17</v>
      </c>
      <c r="S31" s="775">
        <f t="shared" si="10"/>
        <v>100</v>
      </c>
      <c r="T31" s="774" t="s">
        <v>17</v>
      </c>
      <c r="U31" s="775">
        <f t="shared" si="11"/>
        <v>100</v>
      </c>
      <c r="V31" s="774" t="s">
        <v>17</v>
      </c>
      <c r="W31" s="775">
        <f t="shared" si="12"/>
        <v>100</v>
      </c>
      <c r="X31" s="1816"/>
      <c r="Y31" s="320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2566</v>
      </c>
      <c r="Q32" s="1813">
        <f t="shared" si="8"/>
        <v>111</v>
      </c>
      <c r="R32" s="774" t="s">
        <v>17</v>
      </c>
      <c r="S32" s="775">
        <f t="shared" si="10"/>
        <v>100</v>
      </c>
      <c r="T32" s="774" t="s">
        <v>17</v>
      </c>
      <c r="U32" s="775">
        <f t="shared" si="11"/>
        <v>100</v>
      </c>
      <c r="V32" s="774" t="s">
        <v>17</v>
      </c>
      <c r="W32" s="775">
        <f t="shared" si="12"/>
        <v>100</v>
      </c>
      <c r="X32" s="1816"/>
      <c r="Y32" s="3210"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0"/>
      <c r="Q33" s="1813">
        <f t="shared" si="8"/>
        <v>111</v>
      </c>
      <c r="R33" s="777" t="s">
        <v>17</v>
      </c>
      <c r="S33" s="778">
        <f t="shared" si="10"/>
        <v>100</v>
      </c>
      <c r="T33" s="777" t="s">
        <v>17</v>
      </c>
      <c r="U33" s="778">
        <f t="shared" si="11"/>
        <v>100</v>
      </c>
      <c r="V33" s="777" t="s">
        <v>17</v>
      </c>
      <c r="W33" s="778">
        <f t="shared" si="12"/>
        <v>100</v>
      </c>
      <c r="X33" s="779"/>
      <c r="Y33" s="3210"/>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0"/>
      <c r="Q34" s="1813" t="str">
        <f>B34</f>
        <v>宗地面积</v>
      </c>
      <c r="R34" s="774" t="s">
        <v>17</v>
      </c>
      <c r="S34" s="775" t="e">
        <f t="shared" si="10"/>
        <v>#N/A</v>
      </c>
      <c r="T34" s="774" t="s">
        <v>17</v>
      </c>
      <c r="U34" s="775" t="e">
        <f t="shared" si="11"/>
        <v>#N/A</v>
      </c>
      <c r="V34" s="774" t="s">
        <v>17</v>
      </c>
      <c r="W34" s="775" t="e">
        <f t="shared" si="12"/>
        <v>#N/A</v>
      </c>
      <c r="X34" s="1816"/>
      <c r="Y34" s="3210"/>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10"/>
      <c r="Q35" s="1813" t="str">
        <f t="shared" ref="Q35:Q40" si="14">B35</f>
        <v>宗地形状</v>
      </c>
      <c r="R35" s="774" t="s">
        <v>17</v>
      </c>
      <c r="S35" s="775">
        <f t="shared" si="10"/>
        <v>100</v>
      </c>
      <c r="T35" s="774" t="s">
        <v>17</v>
      </c>
      <c r="U35" s="775">
        <f t="shared" si="11"/>
        <v>100</v>
      </c>
      <c r="V35" s="774" t="s">
        <v>17</v>
      </c>
      <c r="W35" s="775">
        <f t="shared" si="12"/>
        <v>100</v>
      </c>
      <c r="X35" s="1816"/>
      <c r="Y35" s="3210"/>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10"/>
      <c r="Q36" s="1813"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10" t="s">
        <v>2566</v>
      </c>
      <c r="Q37" s="1813" t="str">
        <f t="shared" si="14"/>
        <v>工程地质条件</v>
      </c>
      <c r="R37" s="774" t="s">
        <v>17</v>
      </c>
      <c r="S37" s="775">
        <f t="shared" si="10"/>
        <v>100</v>
      </c>
      <c r="T37" s="774" t="s">
        <v>17</v>
      </c>
      <c r="U37" s="775">
        <f t="shared" si="11"/>
        <v>100</v>
      </c>
      <c r="V37" s="774" t="s">
        <v>17</v>
      </c>
      <c r="W37" s="775">
        <f t="shared" si="12"/>
        <v>100</v>
      </c>
      <c r="X37" s="1816"/>
      <c r="Y37" s="3210"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0"/>
      <c r="Q38" s="1813">
        <f t="shared" si="14"/>
        <v>111</v>
      </c>
      <c r="R38" s="774" t="s">
        <v>17</v>
      </c>
      <c r="S38" s="775">
        <f t="shared" si="10"/>
        <v>100</v>
      </c>
      <c r="T38" s="774" t="s">
        <v>17</v>
      </c>
      <c r="U38" s="775">
        <f t="shared" si="11"/>
        <v>100</v>
      </c>
      <c r="V38" s="774" t="s">
        <v>17</v>
      </c>
      <c r="W38" s="775">
        <f t="shared" si="12"/>
        <v>100</v>
      </c>
      <c r="X38" s="1816"/>
      <c r="Y38" s="321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0"/>
      <c r="Q39" s="1813">
        <f t="shared" si="14"/>
        <v>111</v>
      </c>
      <c r="R39" s="774" t="s">
        <v>17</v>
      </c>
      <c r="S39" s="775">
        <f t="shared" si="10"/>
        <v>100</v>
      </c>
      <c r="T39" s="774" t="s">
        <v>17</v>
      </c>
      <c r="U39" s="775">
        <f t="shared" si="11"/>
        <v>100</v>
      </c>
      <c r="V39" s="774" t="s">
        <v>17</v>
      </c>
      <c r="W39" s="775">
        <f t="shared" si="12"/>
        <v>100</v>
      </c>
      <c r="X39" s="1816"/>
      <c r="Y39" s="3210"/>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0"/>
      <c r="Q40" s="1813">
        <f t="shared" si="14"/>
        <v>111</v>
      </c>
      <c r="R40" s="777" t="s">
        <v>17</v>
      </c>
      <c r="S40" s="778">
        <f t="shared" si="10"/>
        <v>100</v>
      </c>
      <c r="T40" s="777" t="s">
        <v>17</v>
      </c>
      <c r="U40" s="778">
        <f t="shared" si="11"/>
        <v>100</v>
      </c>
      <c r="V40" s="777" t="s">
        <v>17</v>
      </c>
      <c r="W40" s="778">
        <f t="shared" si="12"/>
        <v>100</v>
      </c>
      <c r="X40" s="779"/>
      <c r="Y40" s="3210"/>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03" t="str">
        <f>A41</f>
        <v>成交单价</v>
      </c>
      <c r="Q41" s="3203"/>
      <c r="R41" s="3198">
        <f>E41</f>
        <v>0</v>
      </c>
      <c r="S41" s="3198"/>
      <c r="T41" s="3198">
        <f>G41</f>
        <v>0</v>
      </c>
      <c r="U41" s="3198"/>
      <c r="V41" s="3198">
        <f>I41</f>
        <v>0</v>
      </c>
      <c r="W41" s="319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3" t="str">
        <f>A42</f>
        <v>比较价值（元/平方米）</v>
      </c>
      <c r="Q42" s="3203"/>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00" t="str">
        <f>A43</f>
        <v>估价对象XX用房的比较价值（楼面单价，元/平方米）</v>
      </c>
      <c r="Q43" s="3201"/>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186" t="s">
        <v>2765</v>
      </c>
      <c r="H50" s="3232"/>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7397.6099999999988</v>
      </c>
      <c r="F51" s="691" t="e">
        <f t="shared" ref="F51:F60" si="15">ROUND(B51*E51/10000,0)</f>
        <v>#DIV/0!</v>
      </c>
      <c r="G51" s="3185"/>
      <c r="H51" s="320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14597.18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0</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8" t="s">
        <v>2820</v>
      </c>
      <c r="D3" s="2729" t="s">
        <v>2821</v>
      </c>
      <c r="E3" s="2734"/>
      <c r="F3" s="2735" t="s">
        <v>2822</v>
      </c>
      <c r="G3" s="916">
        <f>IF(F3="宗地容积率",'数据-汇总表'!I4,IF(F3="估价对象容积率",'数据-汇总表'!I6,'数据-汇总表'!I7))</f>
        <v>0.51</v>
      </c>
      <c r="H3" s="198" t="s">
        <v>2823</v>
      </c>
      <c r="I3" s="947"/>
      <c r="J3" s="2732" t="s">
        <v>2824</v>
      </c>
      <c r="K3" s="1373"/>
      <c r="L3" s="2733"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2"/>
      <c r="B4" s="3253"/>
      <c r="C4" s="3253"/>
      <c r="D4" s="3254"/>
      <c r="E4" s="3254"/>
      <c r="F4" s="3254"/>
      <c r="G4" s="3254"/>
      <c r="H4" s="3254"/>
      <c r="I4" s="3254"/>
      <c r="J4" s="3255"/>
      <c r="K4" s="1373"/>
      <c r="L4" s="2733"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2827</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2829</v>
      </c>
      <c r="B6" s="2747" t="s">
        <v>2830</v>
      </c>
      <c r="C6" s="918">
        <f>SUMIF(L1:L12,G2,M1:M12)</f>
        <v>0</v>
      </c>
      <c r="D6" s="2748" t="s">
        <v>2831</v>
      </c>
      <c r="E6" s="2749"/>
      <c r="F6" s="2749"/>
      <c r="G6" s="2750"/>
      <c r="H6" s="2750"/>
      <c r="I6" s="2750"/>
      <c r="J6" s="2751"/>
      <c r="K6" s="1845"/>
      <c r="L6" s="2733"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38" t="str">
        <f>IF(E2="商业",IF(C8="不临58条商业街","",2),"")</f>
        <v/>
      </c>
      <c r="B7" s="2752" t="s">
        <v>2833</v>
      </c>
      <c r="C7" s="919" t="e">
        <f>IF(C8="不临58条商业街",1,ROUND(1+(1.6*E8+1.2*E9+0.8*E10+0.4*E11)*C9,4))</f>
        <v>#DIV/0!</v>
      </c>
      <c r="D7" s="2753" t="s">
        <v>2834</v>
      </c>
      <c r="E7" s="948"/>
      <c r="F7" s="2754"/>
      <c r="G7" s="2755"/>
      <c r="H7" s="2755"/>
      <c r="I7" s="2755"/>
      <c r="J7" s="2756"/>
      <c r="K7" s="1845"/>
      <c r="L7" s="2733"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2836</v>
      </c>
      <c r="X7" s="1607">
        <f>G2</f>
        <v>0</v>
      </c>
      <c r="Y7" s="1607" t="s">
        <v>2837</v>
      </c>
      <c r="Z7" s="1608">
        <f>G3</f>
        <v>0.51</v>
      </c>
      <c r="AA7" s="1609"/>
      <c r="AB7" s="1609"/>
      <c r="AC7" s="1610"/>
      <c r="AD7" s="1611"/>
      <c r="AE7" s="1611"/>
      <c r="AF7" s="1611"/>
      <c r="AG7" s="1611"/>
      <c r="AH7" s="1611"/>
      <c r="AI7" s="1611"/>
      <c r="AJ7" s="1612"/>
    </row>
    <row r="8" spans="1:36" ht="15">
      <c r="A8" s="3239"/>
      <c r="B8" s="198" t="s">
        <v>2838</v>
      </c>
      <c r="C8" s="2757"/>
      <c r="D8" s="920" t="s">
        <v>139</v>
      </c>
      <c r="E8" s="921" t="e">
        <f>ROUND(C11/E7,4)</f>
        <v>#DIV/0!</v>
      </c>
      <c r="F8" s="2758" t="s">
        <v>2839</v>
      </c>
      <c r="G8" s="2759"/>
      <c r="H8" s="2759"/>
      <c r="I8" s="2759"/>
      <c r="J8" s="2760"/>
      <c r="K8" s="1373"/>
      <c r="L8" s="2733"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9" t="s">
        <v>2841</v>
      </c>
      <c r="X8" s="3250"/>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39"/>
      <c r="B9" s="198" t="s">
        <v>2854</v>
      </c>
      <c r="C9" s="922">
        <f>SUMIF(修正!C59:C119,C8,修正!E59:E119)</f>
        <v>0</v>
      </c>
      <c r="D9" s="200" t="s">
        <v>140</v>
      </c>
      <c r="E9" s="200" t="e">
        <f>ROUND(C11/E7,4)</f>
        <v>#DIV/0!</v>
      </c>
      <c r="F9" s="2758" t="s">
        <v>2855</v>
      </c>
      <c r="G9" s="2759"/>
      <c r="H9" s="2759"/>
      <c r="I9" s="2759"/>
      <c r="J9" s="2760"/>
      <c r="K9" s="1373"/>
      <c r="L9" s="2733"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1"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9"/>
      <c r="B10" s="198" t="s">
        <v>2859</v>
      </c>
      <c r="C10" s="200">
        <f>SUMIF(修正!C59:C119,C8,修正!F59:F119)</f>
        <v>0</v>
      </c>
      <c r="D10" s="200" t="s">
        <v>141</v>
      </c>
      <c r="E10" s="200" t="e">
        <f>ROUND(C11/E7,4)</f>
        <v>#DIV/0!</v>
      </c>
      <c r="F10" s="2758" t="s">
        <v>2860</v>
      </c>
      <c r="G10" s="2759"/>
      <c r="H10" s="2759"/>
      <c r="I10" s="2759"/>
      <c r="J10" s="2760"/>
      <c r="K10" s="1373"/>
      <c r="L10" s="2733"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9"/>
      <c r="B11" s="2761" t="s">
        <v>2862</v>
      </c>
      <c r="C11" s="923">
        <f>C10/4</f>
        <v>0</v>
      </c>
      <c r="D11" s="923" t="s">
        <v>142</v>
      </c>
      <c r="E11" s="923" t="e">
        <f>ROUND(C11/E7,4)</f>
        <v>#DIV/0!</v>
      </c>
      <c r="F11" s="2762" t="s">
        <v>2863</v>
      </c>
      <c r="G11" s="2763"/>
      <c r="H11" s="2763"/>
      <c r="I11" s="2763"/>
      <c r="J11" s="2764"/>
      <c r="K11" s="1373"/>
      <c r="L11" s="2733"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1" t="s">
        <v>2865</v>
      </c>
      <c r="X11" s="1617" t="s">
        <v>2866</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238" t="s">
        <v>2867</v>
      </c>
      <c r="B12" s="2765" t="s">
        <v>2868</v>
      </c>
      <c r="C12" s="919">
        <f>ROUND(C15*D15*E15*F15*G15*H15*I15*J15,4)</f>
        <v>1</v>
      </c>
      <c r="D12" s="2766" t="s">
        <v>2869</v>
      </c>
      <c r="E12" s="2767"/>
      <c r="F12" s="2767"/>
      <c r="G12" s="2768"/>
      <c r="H12" s="2768"/>
      <c r="I12" s="2768"/>
      <c r="J12" s="2769"/>
      <c r="K12" s="1373"/>
      <c r="L12" s="2770"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1"/>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6"/>
      <c r="B13" s="2771" t="s">
        <v>2872</v>
      </c>
      <c r="C13" s="2772" t="s">
        <v>2873</v>
      </c>
      <c r="D13" s="1811" t="s">
        <v>2874</v>
      </c>
      <c r="E13" s="1811" t="s">
        <v>2875</v>
      </c>
      <c r="F13" s="30" t="s">
        <v>2876</v>
      </c>
      <c r="G13" s="2773" t="s">
        <v>2877</v>
      </c>
      <c r="H13" s="2773" t="s">
        <v>2877</v>
      </c>
      <c r="I13" s="2773" t="s">
        <v>2877</v>
      </c>
      <c r="J13" s="2774" t="s">
        <v>2877</v>
      </c>
      <c r="K13" s="1373"/>
      <c r="L13" s="1373"/>
      <c r="M13" s="1373"/>
      <c r="N13" s="1373"/>
      <c r="O13" s="1373"/>
      <c r="P13" s="1373"/>
      <c r="Q13" s="1373"/>
      <c r="R13" s="1605">
        <v>12</v>
      </c>
      <c r="S13" s="1606"/>
      <c r="T13" s="1605" t="e">
        <f t="shared" si="0"/>
        <v>#DIV/0!</v>
      </c>
      <c r="U13" s="1606"/>
      <c r="V13" s="1605" t="e">
        <f t="shared" si="1"/>
        <v>#DIV/0!</v>
      </c>
      <c r="W13" s="3251"/>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256"/>
      <c r="B14" s="2775"/>
      <c r="C14" s="2776"/>
      <c r="D14" s="2777"/>
      <c r="E14" s="2777"/>
      <c r="F14" s="2778"/>
      <c r="G14" s="2779" t="s">
        <v>2878</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7"/>
      <c r="B15" s="2783" t="s">
        <v>2879</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2880</v>
      </c>
      <c r="N15" s="920" t="s">
        <v>2881</v>
      </c>
      <c r="O15" s="920" t="s">
        <v>2882</v>
      </c>
      <c r="P15" s="2785"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8" t="s">
        <v>2884</v>
      </c>
      <c r="B16" s="2752" t="s">
        <v>2885</v>
      </c>
      <c r="C16" s="1804" t="e">
        <f>ROUND(SUM(G17:J17)/C17,0)</f>
        <v>#DIV/0!</v>
      </c>
      <c r="D16" s="2786" t="s">
        <v>2886</v>
      </c>
      <c r="E16" s="2787"/>
      <c r="F16" s="2788"/>
      <c r="G16" s="2789"/>
      <c r="H16" s="2789"/>
      <c r="I16" s="2789"/>
      <c r="J16" s="2790"/>
      <c r="K16" s="1373"/>
      <c r="L16" s="2791"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9"/>
      <c r="B17" s="2792" t="s">
        <v>2888</v>
      </c>
      <c r="C17" s="924">
        <f>SUMPRODUCT((修正!A2:A5=E2)*(修正!B1:M1=G2)*(修正!B2:M5))</f>
        <v>0</v>
      </c>
      <c r="D17" s="2793"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2892</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2893</v>
      </c>
      <c r="C19" s="927" t="e">
        <f>ROUND(IF(H19="按公示增长率计算",SUMPRODUCT((地价!A3:A25=YEAR(G19)&amp;"-"&amp;ROUNDUP(MONTH(G19)/3,0))*(地价!X2:AB2=E2)*(地价!X3:AB25)),IF(H19="地价指数",M20/M19,(1+I19)^O19)),4)</f>
        <v>#DIV/0!</v>
      </c>
      <c r="D19" s="2804" t="s">
        <v>2894</v>
      </c>
      <c r="E19" s="928">
        <v>41640</v>
      </c>
      <c r="F19" s="2804" t="s">
        <v>2895</v>
      </c>
      <c r="G19" s="929">
        <f>'数据-取费表'!B2</f>
        <v>43598</v>
      </c>
      <c r="H19" s="2805" t="s">
        <v>2896</v>
      </c>
      <c r="I19" s="930" t="str">
        <f>IF(H19="季度增幅（自定义）",SUMIF(N21:N24,E2,O21:O24),"")</f>
        <v/>
      </c>
      <c r="J19" s="2802"/>
      <c r="K19" s="1380"/>
      <c r="L19" s="2806" t="s">
        <v>2897</v>
      </c>
      <c r="M19" s="1737">
        <f>ROUND(SUMIF(地价!B2:F2,E2,地价!B25:F25),0)</f>
        <v>0</v>
      </c>
      <c r="N19" s="2807" t="s">
        <v>2898</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2899</v>
      </c>
      <c r="C20" s="932" t="e">
        <f>ROUND(POWER(1+G20,J20-I20)*(POWER(1+G20,I20)-1)/(POWER(1+G20,J20)-1),4)</f>
        <v>#DIV/0!</v>
      </c>
      <c r="D20" s="2813" t="s">
        <v>2900</v>
      </c>
      <c r="E20" s="1771">
        <f ca="1">存贷款利率!D4/100</f>
        <v>4.3499999999999997E-2</v>
      </c>
      <c r="F20" s="2813" t="s">
        <v>2891</v>
      </c>
      <c r="G20" s="937">
        <f>SUMIF(M15:P15,E2,M17:P17)</f>
        <v>0</v>
      </c>
      <c r="H20" s="2813" t="s">
        <v>2901</v>
      </c>
      <c r="I20" s="938" t="e">
        <f>SUMIF('数据-取费表'!C6:C15,E2,'数据-取费表'!F6:F15)/COUNTIF('数据-取费表'!C6:C15,E2)</f>
        <v>#DIV/0!</v>
      </c>
      <c r="J20" s="939">
        <f>IF(E2="住宅",70,IF(E2="商业",40,50))</f>
        <v>50</v>
      </c>
      <c r="K20" s="1380"/>
      <c r="L20" s="2814" t="s">
        <v>2902</v>
      </c>
      <c r="M20" s="1738">
        <f>ROUND(SUMPRODUCT((地价!A4:A25=YEAR(G19)&amp;"-"&amp;ROUNDUP(MONTH(G19)/3,0))*(地价!B2:F2=E2)*(地价!B4:F25)),0)</f>
        <v>0</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2906</v>
      </c>
      <c r="C21" s="940">
        <f>IF(B21="容积率修正",IF(G3&lt;=10,D22,J22),C23)</f>
        <v>0</v>
      </c>
      <c r="D21" s="2820"/>
      <c r="E21" s="2820"/>
      <c r="F21" s="2820"/>
      <c r="G21" s="2820"/>
      <c r="H21" s="2820"/>
      <c r="I21" s="2820"/>
      <c r="J21" s="2821"/>
      <c r="K21" s="1380"/>
      <c r="N21" s="2822" t="s">
        <v>2907</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2911</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2914</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0</v>
      </c>
      <c r="D24" s="2800"/>
      <c r="E24" s="2830"/>
      <c r="F24" s="2830"/>
      <c r="G24" s="2830"/>
      <c r="H24" s="2830"/>
      <c r="I24" s="2830"/>
      <c r="J24" s="2831"/>
      <c r="K24" s="1380"/>
      <c r="N24" s="2832" t="s">
        <v>2916</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2919</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t="e">
        <f>ROUND(C5*C18*C19*C20*C21*C24,0)</f>
        <v>#DIV/0!</v>
      </c>
      <c r="D29" s="2852"/>
      <c r="E29" s="945" t="e">
        <f>ROUND(C29*D29/10000,0)</f>
        <v>#DIV/0!</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t="e">
        <f>ROUND(IF(E2="工业",C29*M39,C29*M38),0)</f>
        <v>#DIV/0!</v>
      </c>
      <c r="D30" s="2858"/>
      <c r="E30" s="945" t="e">
        <f>ROUND(C30*D30/10000,0)</f>
        <v>#DIV/0!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6" t="s">
        <v>2933</v>
      </c>
      <c r="B33" s="2868" t="s">
        <v>2934</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7"/>
      <c r="B34" s="2772" t="s">
        <v>2935</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7"/>
      <c r="B35" s="2772" t="s">
        <v>2936</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48"/>
      <c r="B36" s="2772" t="s">
        <v>2937</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2883</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3053</v>
      </c>
      <c r="C41" s="388" t="e">
        <f>ROUND(POWER(1+E41,H41-G41)*(POWER(1+E41,G41)-1)/(POWER(1+E41,H41)-1),4)</f>
        <v>#DIV/0!</v>
      </c>
      <c r="D41" s="200" t="s">
        <v>2891</v>
      </c>
      <c r="E41" s="2944">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2598</v>
      </c>
      <c r="K80" s="603" t="s">
        <v>2599</v>
      </c>
      <c r="L80" s="603" t="s">
        <v>2600</v>
      </c>
      <c r="M80" s="603" t="s">
        <v>2601</v>
      </c>
      <c r="N80" s="603" t="s">
        <v>2602</v>
      </c>
      <c r="Z80" s="2727"/>
      <c r="AA80" s="2803"/>
      <c r="AG80" s="1375"/>
      <c r="AK80" s="2803"/>
    </row>
    <row r="81" spans="1:37" ht="38.25">
      <c r="A81" s="2885" t="s">
        <v>2972</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2955</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2969</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2961</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2962</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2959</v>
      </c>
      <c r="B87" s="2891" t="s">
        <v>2973</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2974</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40" t="s">
        <v>2975</v>
      </c>
      <c r="B90" s="3240"/>
      <c r="C90" s="3240"/>
      <c r="D90" s="3240"/>
      <c r="E90" s="3240"/>
      <c r="F90" s="3240"/>
      <c r="G90" s="3240"/>
      <c r="H90" s="3240"/>
      <c r="I90" s="3240"/>
      <c r="J90" s="3240"/>
      <c r="K90" s="2899"/>
      <c r="L90" s="2899"/>
      <c r="M90" s="2899"/>
      <c r="N90" s="2899"/>
    </row>
    <row r="91" spans="1:37">
      <c r="A91" s="3242" t="s">
        <v>2976</v>
      </c>
      <c r="B91" s="3242" t="s">
        <v>2977</v>
      </c>
      <c r="C91" s="2853" t="s">
        <v>2978</v>
      </c>
      <c r="D91" s="2854"/>
      <c r="E91" s="2854"/>
      <c r="F91" s="2854"/>
      <c r="G91" s="2854"/>
      <c r="H91" s="2854"/>
      <c r="I91" s="2854"/>
      <c r="J91" s="2900"/>
      <c r="K91" s="2901"/>
      <c r="L91" s="2901"/>
      <c r="M91" s="2901"/>
      <c r="N91" s="2901"/>
    </row>
    <row r="92" spans="1:37">
      <c r="A92" s="3242"/>
      <c r="B92" s="3242"/>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3"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4"/>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4"/>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4"/>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4"/>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4"/>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4"/>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5"/>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3" t="s">
        <v>2980</v>
      </c>
      <c r="B101" s="2906" t="s">
        <v>2981</v>
      </c>
      <c r="C101" s="2907">
        <f>$G$3</f>
        <v>0.51</v>
      </c>
      <c r="D101" s="2907">
        <f t="shared" ref="D101:N101" si="31">$G$3</f>
        <v>0.51</v>
      </c>
      <c r="E101" s="2907">
        <f t="shared" si="31"/>
        <v>0.51</v>
      </c>
      <c r="F101" s="2907">
        <f t="shared" si="31"/>
        <v>0.51</v>
      </c>
      <c r="G101" s="2907">
        <f t="shared" si="31"/>
        <v>0.51</v>
      </c>
      <c r="H101" s="2907">
        <f t="shared" si="31"/>
        <v>0.51</v>
      </c>
      <c r="I101" s="2907">
        <f t="shared" si="31"/>
        <v>0.51</v>
      </c>
      <c r="J101" s="2907">
        <f t="shared" si="31"/>
        <v>0.51</v>
      </c>
      <c r="K101" s="2907">
        <f t="shared" si="31"/>
        <v>0.51</v>
      </c>
      <c r="L101" s="2907">
        <f t="shared" si="31"/>
        <v>0.51</v>
      </c>
      <c r="M101" s="2907">
        <f t="shared" si="31"/>
        <v>0.51</v>
      </c>
      <c r="N101" s="2907">
        <f t="shared" si="31"/>
        <v>0.51</v>
      </c>
    </row>
    <row r="102" spans="1:14">
      <c r="A102" s="3244"/>
      <c r="B102" s="2902">
        <v>1</v>
      </c>
      <c r="C102" s="2903">
        <f>1.9362/C101</f>
        <v>3.796470588235294</v>
      </c>
      <c r="D102" s="2903">
        <f>1.9362/D101</f>
        <v>3.796470588235294</v>
      </c>
      <c r="E102" s="2903">
        <f>1.8629/E101</f>
        <v>3.6527450980392158</v>
      </c>
      <c r="F102" s="2903">
        <f>1.8629/F101</f>
        <v>3.6527450980392158</v>
      </c>
      <c r="G102" s="2903">
        <f>1.8629/G101</f>
        <v>3.6527450980392158</v>
      </c>
      <c r="H102" s="2903">
        <f>1.8629/H101</f>
        <v>3.6527450980392158</v>
      </c>
      <c r="I102" s="2903">
        <f>1.8629/I101</f>
        <v>3.6527450980392158</v>
      </c>
      <c r="J102" s="2903">
        <f>1.942/J101</f>
        <v>3.8078431372549018</v>
      </c>
      <c r="K102" s="2903">
        <f>1.942/K101</f>
        <v>3.8078431372549018</v>
      </c>
      <c r="L102" s="2903">
        <f>1.942/L101</f>
        <v>3.8078431372549018</v>
      </c>
      <c r="M102" s="2903">
        <f>1.942/M101</f>
        <v>3.8078431372549018</v>
      </c>
      <c r="N102" s="2903">
        <f>1.942/N101</f>
        <v>3.8078431372549018</v>
      </c>
    </row>
    <row r="103" spans="1:14">
      <c r="A103" s="3244"/>
      <c r="B103" s="2902">
        <v>2</v>
      </c>
      <c r="C103" s="2903">
        <f>1.4198/C101</f>
        <v>2.7839215686274508</v>
      </c>
      <c r="D103" s="2903">
        <f>1.4198/D101</f>
        <v>2.7839215686274508</v>
      </c>
      <c r="E103" s="2903">
        <f>1.3372/E101</f>
        <v>2.6219607843137251</v>
      </c>
      <c r="F103" s="2903">
        <f>1.3372/F101</f>
        <v>2.6219607843137251</v>
      </c>
      <c r="G103" s="2903">
        <f>1.3372/G101</f>
        <v>2.6219607843137251</v>
      </c>
      <c r="H103" s="2903">
        <f>1.3372/H101</f>
        <v>2.6219607843137251</v>
      </c>
      <c r="I103" s="2903">
        <f>1.3372/I101</f>
        <v>2.6219607843137251</v>
      </c>
      <c r="J103" s="2903">
        <f>1.2799/J101</f>
        <v>2.509607843137255</v>
      </c>
      <c r="K103" s="2903">
        <f>1.2799/K101</f>
        <v>2.509607843137255</v>
      </c>
      <c r="L103" s="2903">
        <f>1.2799/L101</f>
        <v>2.509607843137255</v>
      </c>
      <c r="M103" s="2903">
        <f>1.2799/M101</f>
        <v>2.509607843137255</v>
      </c>
      <c r="N103" s="2903">
        <f>1.2799/N101</f>
        <v>2.509607843137255</v>
      </c>
    </row>
    <row r="104" spans="1:14">
      <c r="A104" s="3244"/>
      <c r="B104" s="2902">
        <v>3</v>
      </c>
      <c r="C104" s="2903">
        <f>1.1594/C101</f>
        <v>2.2733333333333334</v>
      </c>
      <c r="D104" s="2903">
        <f>1.1594/D101</f>
        <v>2.2733333333333334</v>
      </c>
      <c r="E104" s="2903">
        <f>1.0788/E101</f>
        <v>2.1152941176470588</v>
      </c>
      <c r="F104" s="2903">
        <f>1.0788/F101</f>
        <v>2.1152941176470588</v>
      </c>
      <c r="G104" s="2903">
        <f>1.0788/G101</f>
        <v>2.1152941176470588</v>
      </c>
      <c r="H104" s="2903">
        <f>1.0788/H101</f>
        <v>2.1152941176470588</v>
      </c>
      <c r="I104" s="2903">
        <f>1.0788/I101</f>
        <v>2.1152941176470588</v>
      </c>
      <c r="J104" s="2903">
        <f>1.0072/J101</f>
        <v>1.9749019607843139</v>
      </c>
      <c r="K104" s="2903">
        <f>1.0072/K101</f>
        <v>1.9749019607843139</v>
      </c>
      <c r="L104" s="2903">
        <f>1.0072/L101</f>
        <v>1.9749019607843139</v>
      </c>
      <c r="M104" s="2903">
        <f>1.0072/M101</f>
        <v>1.9749019607843139</v>
      </c>
      <c r="N104" s="2903">
        <f>1.0072/N101</f>
        <v>1.9749019607843139</v>
      </c>
    </row>
    <row r="105" spans="1:14">
      <c r="A105" s="3244"/>
      <c r="B105" s="2902">
        <v>4</v>
      </c>
      <c r="C105" s="2903">
        <f>0.9622/C101</f>
        <v>1.8866666666666667</v>
      </c>
      <c r="D105" s="2903">
        <f>0.9622/D101</f>
        <v>1.8866666666666667</v>
      </c>
      <c r="E105" s="2903">
        <f>0.8656/E101</f>
        <v>1.6972549019607843</v>
      </c>
      <c r="F105" s="2903">
        <f>0.8656/F101</f>
        <v>1.6972549019607843</v>
      </c>
      <c r="G105" s="2903">
        <f>0.8656/G101</f>
        <v>1.6972549019607843</v>
      </c>
      <c r="H105" s="2903">
        <f>0.8656/H101</f>
        <v>1.6972549019607843</v>
      </c>
      <c r="I105" s="2903">
        <f>0.8656/I101</f>
        <v>1.6972549019607843</v>
      </c>
      <c r="J105" s="2903">
        <f>0.7525/J101</f>
        <v>1.4754901960784312</v>
      </c>
      <c r="K105" s="2903">
        <f>0.7525/K101</f>
        <v>1.4754901960784312</v>
      </c>
      <c r="L105" s="2903">
        <f>0.7525/L101</f>
        <v>1.4754901960784312</v>
      </c>
      <c r="M105" s="2903">
        <f>0.7525/M101</f>
        <v>1.4754901960784312</v>
      </c>
      <c r="N105" s="2903">
        <f>0.7525/N101</f>
        <v>1.4754901960784312</v>
      </c>
    </row>
    <row r="106" spans="1:14">
      <c r="A106" s="3244"/>
      <c r="B106" s="2902">
        <v>5</v>
      </c>
      <c r="C106" s="2903">
        <f>0.8417/C101</f>
        <v>1.6503921568627451</v>
      </c>
      <c r="D106" s="2903">
        <f>0.8417/D101</f>
        <v>1.6503921568627451</v>
      </c>
      <c r="E106" s="2903">
        <f>0.7371/E101</f>
        <v>1.4452941176470588</v>
      </c>
      <c r="F106" s="2903">
        <f>0.7371/F101</f>
        <v>1.4452941176470588</v>
      </c>
      <c r="G106" s="2903">
        <f>0.7371/G101</f>
        <v>1.4452941176470588</v>
      </c>
      <c r="H106" s="2903">
        <f>0.7371/H101</f>
        <v>1.4452941176470588</v>
      </c>
      <c r="I106" s="2903">
        <f>0.7371/I101</f>
        <v>1.4452941176470588</v>
      </c>
      <c r="J106" s="2903">
        <f>0.5659/J101</f>
        <v>1.1096078431372549</v>
      </c>
      <c r="K106" s="2903">
        <f>0.5659/K101</f>
        <v>1.1096078431372549</v>
      </c>
      <c r="L106" s="2903">
        <f>0.5659/L101</f>
        <v>1.1096078431372549</v>
      </c>
      <c r="M106" s="2903">
        <f>0.5659/M101</f>
        <v>1.1096078431372549</v>
      </c>
      <c r="N106" s="2903">
        <f>0.5659/N101</f>
        <v>1.1096078431372549</v>
      </c>
    </row>
    <row r="107" spans="1:14">
      <c r="A107" s="3244"/>
      <c r="B107" s="2902">
        <v>6</v>
      </c>
      <c r="C107" s="2903">
        <f>0.7608/C101</f>
        <v>1.4917647058823529</v>
      </c>
      <c r="D107" s="2903">
        <f>0.7608/D101</f>
        <v>1.4917647058823529</v>
      </c>
      <c r="E107" s="2903">
        <f>0.6482/E101</f>
        <v>1.2709803921568628</v>
      </c>
      <c r="F107" s="2903">
        <f>0.6482/F101</f>
        <v>1.2709803921568628</v>
      </c>
      <c r="G107" s="2903">
        <f>0.6482/G101</f>
        <v>1.2709803921568628</v>
      </c>
      <c r="H107" s="2903">
        <f>0.6482/H101</f>
        <v>1.2709803921568628</v>
      </c>
      <c r="I107" s="2903">
        <f>0.6482/I101</f>
        <v>1.2709803921568628</v>
      </c>
      <c r="J107" s="2903">
        <f>0.4525/J101</f>
        <v>0.88725490196078427</v>
      </c>
      <c r="K107" s="2903">
        <f>0.4525/K101</f>
        <v>0.88725490196078427</v>
      </c>
      <c r="L107" s="2903">
        <f>0.4525/L101</f>
        <v>0.88725490196078427</v>
      </c>
      <c r="M107" s="2903">
        <f>0.4525/M101</f>
        <v>0.88725490196078427</v>
      </c>
      <c r="N107" s="2903">
        <f>0.4525/N101</f>
        <v>0.88725490196078427</v>
      </c>
    </row>
    <row r="108" spans="1:14">
      <c r="A108" s="3244"/>
      <c r="B108" s="3072"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5"/>
      <c r="B109" s="3073"/>
      <c r="C109" s="2905">
        <f>(-0.163*(C108^2)-0.59*C108+7617)*(10^(-4))/C101</f>
        <v>1.493529411764706</v>
      </c>
      <c r="D109" s="2905">
        <f>(-0.163*(D108^2)-0.59*D108+7617)*(10^(-4))/D101</f>
        <v>1.493529411764706</v>
      </c>
      <c r="E109" s="2905">
        <f>(-0.161*(E108^2)-7.509*E108+6533)*(10^(-4))/E101</f>
        <v>1.2809803921568628</v>
      </c>
      <c r="F109" s="2905">
        <f>(-0.161*(F108^2)-7.509*F108+6533)*(10^(-4))/F101</f>
        <v>1.2809803921568628</v>
      </c>
      <c r="G109" s="2905">
        <f>(-0.161*(G108^2)-7.509*G108+6533)*(10^(-4))/G101</f>
        <v>1.2809803921568628</v>
      </c>
      <c r="H109" s="2905">
        <f>(-0.161*(H108^2)-7.509*H108+6533)*(10^(-4))/H101</f>
        <v>1.2809803921568628</v>
      </c>
      <c r="I109" s="2905">
        <f>(-0.161*(I108^2)-7.509*I108+6533)*(10^(-4))/I101</f>
        <v>1.2809803921568628</v>
      </c>
      <c r="J109" s="2905">
        <f>(-0.214*(J108^2)-21.991*J108+4665)*(10^(-4))/J101</f>
        <v>0.91470588235294126</v>
      </c>
      <c r="K109" s="2905">
        <f>(-0.214*(K108^2)-21.991*K108+4665)*(10^(-4))/K101</f>
        <v>0.91470588235294126</v>
      </c>
      <c r="L109" s="2905">
        <f>(-0.214*(L108^2)-21.991*L108+4665)*(10^(-4))/L101</f>
        <v>0.91470588235294126</v>
      </c>
      <c r="M109" s="2905">
        <f>(-0.214*(M108^2)-21.991*M108+4665)*(10^(-4))/M101</f>
        <v>0.91470588235294126</v>
      </c>
      <c r="N109" s="2905">
        <f>(-0.214*(N108^2)-21.991*N108+4665)*(10^(-4))/N101</f>
        <v>0.91470588235294126</v>
      </c>
    </row>
    <row r="110" spans="1:14">
      <c r="A110" s="3241" t="s">
        <v>2983</v>
      </c>
      <c r="B110" s="3241"/>
      <c r="C110" s="3241"/>
      <c r="D110" s="3241"/>
      <c r="E110" s="3241"/>
      <c r="F110" s="3241"/>
      <c r="G110" s="3241"/>
      <c r="H110" s="3241"/>
      <c r="I110" s="3241"/>
      <c r="J110" s="3241"/>
      <c r="K110" s="2908"/>
      <c r="L110" s="2908"/>
      <c r="M110" s="2908"/>
      <c r="N110" s="2908"/>
    </row>
    <row r="112" spans="1:14" ht="13.5" thickBot="1"/>
    <row r="113" spans="1:13" ht="25.5" thickBot="1">
      <c r="A113" s="903" t="s">
        <v>2984</v>
      </c>
      <c r="B113" s="1290">
        <f>G3</f>
        <v>0.51</v>
      </c>
      <c r="C113" s="904" t="s">
        <v>2985</v>
      </c>
      <c r="D113" s="905">
        <f>SUMPRODUCT((A115:A118=F113)*(B114:M114=H113)*B115:M118)</f>
        <v>0</v>
      </c>
      <c r="E113" s="2731" t="s">
        <v>2815</v>
      </c>
      <c r="F113" s="2910">
        <f>E2</f>
        <v>0</v>
      </c>
      <c r="G113" s="2731" t="s">
        <v>2816</v>
      </c>
      <c r="H113" s="2910">
        <f>G2</f>
        <v>0</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2880</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2881</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2882</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2883</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t="e">
        <f ca="1">SUMIF(B6:B13,"&lt;&gt;#ref!",B6:B13)</f>
        <v>#DIV/0!</v>
      </c>
      <c r="C2" s="2917" t="s">
        <v>2999</v>
      </c>
      <c r="D2" s="2917" t="s">
        <v>3000</v>
      </c>
      <c r="E2" s="2918">
        <f ca="1">SUMIF(E6:E13,"&lt;&gt;#ref!",E6:E13)</f>
        <v>0</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0" t="s">
        <v>1147</v>
      </c>
      <c r="H1" s="3260"/>
      <c r="I1" s="3260"/>
      <c r="J1" s="3260"/>
      <c r="K1" s="3260"/>
      <c r="L1" s="3260"/>
      <c r="N1" s="3260" t="s">
        <v>1148</v>
      </c>
      <c r="O1" s="3260"/>
      <c r="P1" s="3260"/>
      <c r="Q1" s="3260"/>
      <c r="R1" s="1449"/>
      <c r="S1" s="3260" t="s">
        <v>1149</v>
      </c>
      <c r="T1" s="3260"/>
      <c r="U1" s="3260"/>
      <c r="V1" s="3260"/>
      <c r="X1" s="3259" t="s">
        <v>1150</v>
      </c>
      <c r="Y1" s="3260"/>
      <c r="Z1" s="3260"/>
      <c r="AA1" s="3260"/>
      <c r="AB1" s="3260"/>
      <c r="AD1" s="3259" t="s">
        <v>1151</v>
      </c>
      <c r="AE1" s="3260"/>
      <c r="AF1" s="3260"/>
      <c r="AG1" s="3260"/>
      <c r="AH1" s="326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3041</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3054</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2">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3037</v>
      </c>
      <c r="B10" s="1472">
        <v>439</v>
      </c>
      <c r="C10" s="1472">
        <v>327</v>
      </c>
      <c r="D10" s="1472">
        <f>C10</f>
        <v>327</v>
      </c>
      <c r="E10" s="1472">
        <v>627</v>
      </c>
      <c r="F10" s="1473">
        <v>283</v>
      </c>
      <c r="G10" s="326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71" t="s">
        <v>3009</v>
      </c>
      <c r="D1" s="3272"/>
      <c r="E1" s="3272"/>
      <c r="F1" s="3272"/>
      <c r="G1" s="3272"/>
      <c r="H1" s="3272"/>
      <c r="I1" s="3272"/>
      <c r="J1" s="3272"/>
      <c r="K1" s="3272"/>
      <c r="L1" s="3272"/>
      <c r="M1" s="3272"/>
      <c r="N1" s="3272"/>
      <c r="O1" s="3272"/>
      <c r="P1" s="3272"/>
      <c r="Q1" s="3272"/>
      <c r="R1" s="3272"/>
      <c r="S1" s="3273"/>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53" t="s">
        <v>33</v>
      </c>
      <c r="D22" s="3054"/>
      <c r="E22" s="3054"/>
      <c r="F22" s="3054"/>
      <c r="G22" s="3054"/>
      <c r="H22" s="3054"/>
      <c r="I22" s="3054"/>
      <c r="J22" s="3054"/>
      <c r="K22" s="3054"/>
      <c r="L22" s="3054"/>
      <c r="M22" s="3054"/>
      <c r="N22" s="3054"/>
      <c r="O22" s="3054"/>
      <c r="P22" s="3054"/>
      <c r="Q22" s="3270"/>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7760</v>
      </c>
      <c r="E5" s="1962"/>
    </row>
    <row r="6" spans="1:5" ht="15.75">
      <c r="A6" s="1962"/>
      <c r="B6" s="2954"/>
      <c r="C6" s="1965" t="s">
        <v>1620</v>
      </c>
      <c r="D6" s="1043" t="str">
        <f ca="1">NUMBERSTRING(INT(D5*10000),2)&amp;"元整"</f>
        <v>柒仟柒佰陆拾万元整</v>
      </c>
      <c r="E6" s="1962"/>
    </row>
    <row r="7" spans="1:5" ht="15.75">
      <c r="A7" s="1962"/>
      <c r="B7" s="2959"/>
      <c r="C7" s="1966" t="s">
        <v>1621</v>
      </c>
      <c r="D7" s="1044">
        <f ca="1">结果表!H102</f>
        <v>10490</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7760</v>
      </c>
      <c r="E13" s="1962"/>
    </row>
    <row r="14" spans="1:5" ht="15.75">
      <c r="A14" s="1962"/>
      <c r="B14" s="2954"/>
      <c r="C14" s="1965" t="s">
        <v>1620</v>
      </c>
      <c r="D14" s="1043" t="str">
        <f ca="1">NUMBERSTRING(INT(D13*10000),2)&amp;"元整"</f>
        <v>柒仟柒佰陆拾万元整</v>
      </c>
      <c r="E14" s="1962"/>
    </row>
    <row r="15" spans="1:5" ht="15">
      <c r="A15" s="1962"/>
      <c r="B15" s="2959"/>
      <c r="C15" s="1966" t="s">
        <v>1630</v>
      </c>
      <c r="D15" s="1055">
        <f ca="1">结果表!H108</f>
        <v>10490</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34518</v>
      </c>
      <c r="C2" s="2" t="s">
        <v>133</v>
      </c>
      <c r="D2" s="243"/>
      <c r="E2" s="243"/>
      <c r="F2" s="243"/>
      <c r="G2" s="243"/>
    </row>
    <row r="3" spans="1:7" s="244" customFormat="1" ht="18" customHeight="1" thickBot="1">
      <c r="A3" s="247" t="s">
        <v>85</v>
      </c>
      <c r="B3" s="248">
        <f ca="1">ROUND(B2*10000/'数据-汇总表'!E3,0)</f>
        <v>46661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104</v>
      </c>
      <c r="D10" s="1035">
        <f>'数据-汇总表'!E6</f>
        <v>7397.6099999999988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133</v>
      </c>
      <c r="D19" s="1039">
        <f>'数据-汇总表'!E3</f>
        <v>7397.6099999999988</v>
      </c>
      <c r="E19" s="255">
        <f>'数据-取费表'!B31</f>
        <v>180</v>
      </c>
      <c r="F19" s="275"/>
      <c r="G19" s="1" t="s">
        <v>1071</v>
      </c>
    </row>
    <row r="20" spans="1:7" s="258" customFormat="1" ht="13.5" customHeight="1">
      <c r="A20" s="951" t="s">
        <v>1054</v>
      </c>
      <c r="B20" s="254" t="s">
        <v>104</v>
      </c>
      <c r="C20" s="276">
        <f>ROUND((C5+C19)*F20,0)</f>
        <v>415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3129</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20</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4232</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4232</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2367</v>
      </c>
      <c r="D34" s="261"/>
      <c r="E34" s="264"/>
      <c r="F34" s="301">
        <f>IF('数据-取费表'!B24=0,1,'数据-取费表'!N16)</f>
        <v>1</v>
      </c>
      <c r="G34" s="263" t="s">
        <v>116</v>
      </c>
    </row>
    <row r="35" spans="1:7" ht="13.5" customHeight="1">
      <c r="A35" s="954" t="s">
        <v>796</v>
      </c>
      <c r="B35" s="259" t="s">
        <v>60</v>
      </c>
      <c r="C35" s="264">
        <f>ROUND(C34*F35,0)</f>
        <v>71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133</v>
      </c>
      <c r="D37" s="261">
        <f>'数据-汇总表'!E3</f>
        <v>7397.6099999999988</v>
      </c>
      <c r="E37" s="293">
        <f>'数据-取费表'!B35</f>
        <v>180</v>
      </c>
      <c r="F37" s="303"/>
      <c r="G37" s="305" t="s">
        <v>119</v>
      </c>
    </row>
    <row r="38" spans="1:7" ht="13.5" customHeight="1">
      <c r="A38" s="954" t="s">
        <v>799</v>
      </c>
      <c r="B38" s="259" t="s">
        <v>63</v>
      </c>
      <c r="C38" s="264">
        <f>ROUND(C34*F38,0)</f>
        <v>36</v>
      </c>
      <c r="D38" s="264"/>
      <c r="E38" s="264"/>
      <c r="F38" s="303">
        <f>'数据-取费表'!B36</f>
        <v>1.4999999999999999E-2</v>
      </c>
      <c r="G38" s="263" t="s">
        <v>117</v>
      </c>
    </row>
    <row r="39" spans="1:7" s="258" customFormat="1" ht="13.5" customHeight="1">
      <c r="A39" s="951" t="s">
        <v>783</v>
      </c>
      <c r="B39" s="254" t="s">
        <v>104</v>
      </c>
      <c r="C39" s="276">
        <f>ROUND(C33*F20,0)</f>
        <v>52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192</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188</v>
      </c>
      <c r="D42" s="282"/>
      <c r="E42" s="282"/>
      <c r="F42" s="283"/>
      <c r="G42" s="3138" t="s">
        <v>121</v>
      </c>
    </row>
    <row r="43" spans="1:7" ht="13.5" customHeight="1">
      <c r="A43" s="954" t="s">
        <v>792</v>
      </c>
      <c r="B43" s="259" t="s">
        <v>1061</v>
      </c>
      <c r="C43" s="282">
        <f ca="1">ROUND(IF('数据-取费表'!B22&lt;=1,C39*F22*'数据-取费表'!B21/2,C39*(POWER((1+F22),'数据-取费表'!B21/2)-1)),0)</f>
        <v>4</v>
      </c>
      <c r="D43" s="282"/>
      <c r="E43" s="282"/>
      <c r="F43" s="283"/>
      <c r="G43" s="3139"/>
    </row>
    <row r="44" spans="1:7" ht="13.5" customHeight="1">
      <c r="A44" s="954" t="s">
        <v>793</v>
      </c>
      <c r="B44" s="259" t="s">
        <v>1063</v>
      </c>
      <c r="C44" s="282">
        <f ca="1">ROUND(IF('数据-取费表'!B22&lt;=1,C40*F22*'数据-取费表'!B21/2,C40*(POWER((1+F22),'数据-取费表'!B21/2)-1)),4)</f>
        <v>1.4E-3</v>
      </c>
      <c r="D44" s="282"/>
      <c r="E44" s="282"/>
      <c r="F44" s="283"/>
      <c r="G44" s="3140"/>
    </row>
    <row r="45" spans="1:7" s="258" customFormat="1" ht="13.5" customHeight="1">
      <c r="A45" s="951" t="s">
        <v>786</v>
      </c>
      <c r="B45" s="288" t="s">
        <v>112</v>
      </c>
      <c r="C45" s="289">
        <f>C46</f>
        <v>532</v>
      </c>
      <c r="D45" s="279">
        <f>C47</f>
        <v>4.0000000000000001E-3</v>
      </c>
      <c r="E45" s="280" t="s">
        <v>129</v>
      </c>
      <c r="F45" s="290"/>
      <c r="G45" s="291" t="s">
        <v>1069</v>
      </c>
    </row>
    <row r="46" spans="1:7" s="258" customFormat="1" ht="13.5" customHeight="1">
      <c r="A46" s="954" t="s">
        <v>794</v>
      </c>
      <c r="B46" s="292" t="s">
        <v>1062</v>
      </c>
      <c r="C46" s="293">
        <f>ROUND((C33+C39)*F27,0)</f>
        <v>532</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3672</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3562</v>
      </c>
      <c r="D51" s="276"/>
      <c r="E51" s="276"/>
      <c r="F51" s="308"/>
      <c r="G51" s="278" t="s">
        <v>64</v>
      </c>
    </row>
    <row r="52" spans="1:7" s="252" customFormat="1" ht="16.5" thickBot="1">
      <c r="A52" s="309" t="s">
        <v>65</v>
      </c>
      <c r="B52" s="310"/>
      <c r="C52" s="311">
        <f ca="1">C31+C51</f>
        <v>34518</v>
      </c>
      <c r="D52" s="310"/>
      <c r="E52" s="310"/>
      <c r="F52" s="310"/>
      <c r="G52" s="312"/>
    </row>
    <row r="55" spans="1:7" ht="15">
      <c r="B55" s="314" t="s">
        <v>66</v>
      </c>
      <c r="C55" s="315"/>
    </row>
    <row r="56" spans="1:7">
      <c r="B56" s="317" t="s">
        <v>67</v>
      </c>
      <c r="C56" s="318">
        <f ca="1">ROUND(C51/C52,3)</f>
        <v>0.10299999999999999</v>
      </c>
    </row>
    <row r="57" spans="1:7">
      <c r="B57" s="317" t="s">
        <v>68</v>
      </c>
      <c r="C57" s="319">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1637</v>
      </c>
      <c r="B2" s="2964" t="s">
        <v>1638</v>
      </c>
      <c r="C2" s="2964" t="s">
        <v>1639</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7" t="s">
        <v>1634</v>
      </c>
      <c r="E3" s="1047" t="s">
        <v>1640</v>
      </c>
      <c r="F3" s="1047" t="s">
        <v>1634</v>
      </c>
      <c r="G3" s="1047" t="s">
        <v>1635</v>
      </c>
      <c r="H3" s="1047" t="s">
        <v>1634</v>
      </c>
      <c r="I3" s="1047" t="s">
        <v>1635</v>
      </c>
    </row>
    <row r="4" spans="1:9" ht="15">
      <c r="A4" s="1976" t="str">
        <f>项目基本情况!S2</f>
        <v>房地产</v>
      </c>
      <c r="B4" s="1047">
        <f>项目基本情况!C17</f>
        <v>7397.6099999999988</v>
      </c>
      <c r="C4" s="1047">
        <f>项目基本情况!C18</f>
        <v>14597.18</v>
      </c>
      <c r="D4" s="1047">
        <f ca="1">结果表!D118</f>
        <v>2087</v>
      </c>
      <c r="E4" s="1047">
        <f ca="1">结果表!E118</f>
        <v>2821</v>
      </c>
      <c r="F4" s="1047">
        <f ca="1">结果表!F118</f>
        <v>5673</v>
      </c>
      <c r="G4" s="1047">
        <f ca="1">结果表!G118</f>
        <v>7669</v>
      </c>
      <c r="H4" s="1047">
        <f ca="1">结果表!H118</f>
        <v>7760</v>
      </c>
      <c r="I4" s="1047">
        <f ca="1">结果表!I118</f>
        <v>10490</v>
      </c>
    </row>
    <row r="5" spans="1:9" ht="30" customHeight="1">
      <c r="A5" s="2965" t="s">
        <v>1636</v>
      </c>
      <c r="B5" s="2965"/>
      <c r="C5" s="2965"/>
      <c r="D5" s="2966" t="str">
        <f ca="1">结果表!D119</f>
        <v>贰仟零捌拾柒万元整</v>
      </c>
      <c r="E5" s="2966"/>
      <c r="F5" s="2966" t="str">
        <f ca="1">结果表!F119</f>
        <v>伍仟陆佰柒拾叁万元整</v>
      </c>
      <c r="G5" s="2966"/>
      <c r="H5" s="2966" t="str">
        <f ca="1">结果表!H119</f>
        <v>柒仟柒佰陆拾万元整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1636</v>
      </c>
      <c r="B7" s="2965"/>
      <c r="C7" s="2965"/>
      <c r="D7" s="2968" t="str">
        <f>结果表!D121</f>
        <v>零元整</v>
      </c>
      <c r="E7" s="2969"/>
      <c r="F7" s="2969"/>
      <c r="G7" s="2969"/>
      <c r="H7" s="2969"/>
      <c r="I7" s="2970"/>
    </row>
    <row r="8" spans="1:9" ht="15.75">
      <c r="A8" s="2967" t="str">
        <f>结果表!A122</f>
        <v>房地产抵押价值</v>
      </c>
      <c r="B8" s="2967"/>
      <c r="C8" s="2967"/>
      <c r="D8" s="2967">
        <f ca="1">结果表!D122</f>
        <v>7760</v>
      </c>
      <c r="E8" s="2967"/>
      <c r="F8" s="2967"/>
      <c r="G8" s="2967"/>
      <c r="H8" s="2967"/>
      <c r="I8" s="2967"/>
    </row>
    <row r="9" spans="1:9" ht="15">
      <c r="A9" s="2965" t="s">
        <v>1636</v>
      </c>
      <c r="B9" s="2965"/>
      <c r="C9" s="2965"/>
      <c r="D9" s="2966" t="str">
        <f ca="1">结果表!D123</f>
        <v>柒仟柒佰陆拾万元整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1636</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4" t="s">
        <v>1658</v>
      </c>
      <c r="B1" s="2974"/>
      <c r="C1" s="2974"/>
      <c r="D1" s="2974"/>
    </row>
    <row r="2" spans="1:4" ht="18">
      <c r="A2" s="2975" t="s">
        <v>1642</v>
      </c>
      <c r="B2" s="2975"/>
      <c r="C2" s="2975"/>
      <c r="D2" s="297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5" t="s">
        <v>1648</v>
      </c>
      <c r="B6" s="2975"/>
      <c r="C6" s="2975"/>
      <c r="D6" s="297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6"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7" t="str">
        <f>IF(项目基本情况!B8="抵押","4.本次评估估价师所知悉的法定优先受偿款情况说明如下：","——")</f>
        <v>4.本次评估估价师所知悉的法定优先受偿款情况说明如下：</v>
      </c>
      <c r="B14" s="2978"/>
      <c r="C14" s="2978"/>
      <c r="D14" s="2978"/>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80" t="s">
        <v>1652</v>
      </c>
      <c r="B16" s="2980"/>
      <c r="C16" s="2980"/>
      <c r="D16" s="2980"/>
    </row>
    <row r="17" spans="1:4" ht="144" customHeight="1">
      <c r="A17" s="2980" t="s">
        <v>1653</v>
      </c>
      <c r="B17" s="2980"/>
      <c r="C17" s="2980"/>
      <c r="D17" s="2980"/>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43605</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3049</v>
      </c>
      <c r="B14" s="1025">
        <f ca="1">IF(C14&lt;B2,"已过期",1120040230)</f>
        <v>1120040230</v>
      </c>
      <c r="C14" s="2352">
        <v>43835</v>
      </c>
      <c r="D14" s="2355" t="s">
        <v>3049</v>
      </c>
      <c r="E14" s="1025">
        <f ca="1">IF(F14&lt;B2,"已过期",98030020)</f>
        <v>98030020</v>
      </c>
      <c r="F14" s="1033">
        <v>47118</v>
      </c>
    </row>
    <row r="15" spans="1:6" ht="24" customHeight="1">
      <c r="A15" s="1706" t="s">
        <v>3050</v>
      </c>
      <c r="B15" s="1025">
        <f ca="1">IF(C15&lt;B2,"已过期",1120070085)</f>
        <v>1120070085</v>
      </c>
      <c r="C15" s="2352">
        <v>43814</v>
      </c>
      <c r="D15" s="2356" t="s">
        <v>3050</v>
      </c>
      <c r="E15" s="1025">
        <f ca="1">IF(F15&lt;B2,"已过期",2004110128)</f>
        <v>2004110128</v>
      </c>
      <c r="F15" s="1026">
        <v>47118</v>
      </c>
    </row>
    <row r="16" spans="1:6" ht="24" customHeight="1">
      <c r="A16" s="1705" t="s">
        <v>3051</v>
      </c>
      <c r="B16" s="1025">
        <f ca="1">IF(C16&lt;B2,"已过期",1120140022)</f>
        <v>1120140022</v>
      </c>
      <c r="C16" s="2943">
        <v>44029</v>
      </c>
      <c r="D16" s="2355" t="s">
        <v>3051</v>
      </c>
      <c r="E16" s="1025">
        <f ca="1">IF(F16&lt;B2,"已过期",2008110059)</f>
        <v>2008110059</v>
      </c>
      <c r="F16" s="1033">
        <v>47177</v>
      </c>
    </row>
    <row r="17" spans="1:7" ht="24" customHeight="1">
      <c r="A17" s="1705"/>
      <c r="B17" s="1025"/>
      <c r="C17" s="2352"/>
      <c r="D17" s="2355" t="s">
        <v>3052</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2019-05-20T02:44:20Z</dcterms:modified>
</cp:coreProperties>
</file>