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77"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F19" i="6" l="1"/>
  <c r="E13" i="4" l="1"/>
  <c r="B3" i="4"/>
  <c r="D3" i="4" s="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C8" i="68"/>
  <c r="B49" i="48"/>
  <c r="B5" i="72" s="1"/>
  <c r="I19" i="43"/>
  <c r="D74" i="71"/>
  <c r="F73" i="71"/>
  <c r="F72" i="71" s="1"/>
  <c r="E73" i="71"/>
  <c r="E72" i="71"/>
  <c r="E71" i="71" s="1"/>
  <c r="C73" i="71"/>
  <c r="D73" i="71" s="1"/>
  <c r="B73" i="71"/>
  <c r="B72" i="71" s="1"/>
  <c r="F71" i="71"/>
  <c r="B71" i="71"/>
  <c r="D70" i="71"/>
  <c r="F69" i="71"/>
  <c r="F68" i="71" s="1"/>
  <c r="E69" i="71"/>
  <c r="E68" i="71"/>
  <c r="E67" i="71" s="1"/>
  <c r="C69" i="7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D50" i="71"/>
  <c r="Q49" i="71"/>
  <c r="P49" i="71"/>
  <c r="O49" i="71"/>
  <c r="N49" i="71"/>
  <c r="Q48" i="71"/>
  <c r="P48" i="71"/>
  <c r="O48" i="71"/>
  <c r="N48" i="71"/>
  <c r="Q47" i="71"/>
  <c r="P47" i="71"/>
  <c r="E48" i="71" s="1"/>
  <c r="E49" i="71" s="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O42" i="71"/>
  <c r="C43" i="71" s="1"/>
  <c r="N42" i="71"/>
  <c r="B43" i="71" s="1"/>
  <c r="B44" i="71" s="1"/>
  <c r="B45" i="71" s="1"/>
  <c r="S45" i="71" s="1"/>
  <c r="D42" i="71"/>
  <c r="Q41" i="71"/>
  <c r="P41" i="71"/>
  <c r="O41" i="71"/>
  <c r="N41" i="71"/>
  <c r="Q40" i="71"/>
  <c r="P40" i="71"/>
  <c r="O40" i="71"/>
  <c r="N40" i="71"/>
  <c r="Q39" i="71"/>
  <c r="P39" i="71"/>
  <c r="O39" i="71"/>
  <c r="N39" i="71"/>
  <c r="C39" i="71"/>
  <c r="C40" i="71" s="1"/>
  <c r="Q38" i="71"/>
  <c r="F39" i="71"/>
  <c r="F40" i="71" s="1"/>
  <c r="F41" i="71" s="1"/>
  <c r="V41" i="71" s="1"/>
  <c r="P38" i="71"/>
  <c r="E39" i="71" s="1"/>
  <c r="E40" i="71" s="1"/>
  <c r="E41" i="71" s="1"/>
  <c r="U41"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D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D27" i="71" s="1"/>
  <c r="N26" i="71"/>
  <c r="B27" i="71" s="1"/>
  <c r="B28" i="71" s="1"/>
  <c r="B29" i="71" s="1"/>
  <c r="S29" i="71"/>
  <c r="D26" i="71"/>
  <c r="Q25" i="71"/>
  <c r="P25" i="71"/>
  <c r="O25" i="71"/>
  <c r="N25" i="71"/>
  <c r="AB24" i="71"/>
  <c r="Q24" i="71"/>
  <c r="P24" i="71"/>
  <c r="O24" i="71"/>
  <c r="Y24" i="71" s="1"/>
  <c r="Z24" i="71"/>
  <c r="N24" i="71"/>
  <c r="X24" i="71"/>
  <c r="Q23" i="71"/>
  <c r="AB23" i="71"/>
  <c r="P23" i="71"/>
  <c r="O23" i="71"/>
  <c r="N23" i="71"/>
  <c r="F25" i="71"/>
  <c r="V25" i="71" s="1"/>
  <c r="Q22" i="71"/>
  <c r="F23" i="71" s="1"/>
  <c r="F24" i="71" s="1"/>
  <c r="P22" i="71"/>
  <c r="O22" i="71"/>
  <c r="C23" i="71" s="1"/>
  <c r="D23" i="71" s="1"/>
  <c r="N22" i="71"/>
  <c r="D22" i="71"/>
  <c r="Q21" i="71"/>
  <c r="AB21" i="71"/>
  <c r="P21" i="71"/>
  <c r="O21" i="71"/>
  <c r="N21" i="71"/>
  <c r="Q20" i="71"/>
  <c r="P20" i="71"/>
  <c r="O20" i="71"/>
  <c r="N20" i="71"/>
  <c r="Q19" i="71"/>
  <c r="P19" i="71"/>
  <c r="O19" i="71"/>
  <c r="N19" i="71"/>
  <c r="Q18" i="71"/>
  <c r="F19" i="71" s="1"/>
  <c r="F20" i="71" s="1"/>
  <c r="F21" i="71" s="1"/>
  <c r="V21" i="71" s="1"/>
  <c r="P18" i="71"/>
  <c r="O18" i="71"/>
  <c r="N18" i="71"/>
  <c r="D18" i="71"/>
  <c r="Q17" i="71"/>
  <c r="P17" i="71"/>
  <c r="O17" i="71"/>
  <c r="N17" i="71"/>
  <c r="Q16" i="71"/>
  <c r="P16" i="71"/>
  <c r="O16" i="71"/>
  <c r="N16" i="71"/>
  <c r="Q15" i="71"/>
  <c r="P15" i="71"/>
  <c r="O15" i="71"/>
  <c r="N15" i="71"/>
  <c r="Q14" i="71"/>
  <c r="P14" i="71"/>
  <c r="O14" i="71"/>
  <c r="N14" i="71"/>
  <c r="D14" i="71"/>
  <c r="O13" i="71"/>
  <c r="N13" i="71"/>
  <c r="B15" i="71"/>
  <c r="B16" i="71"/>
  <c r="E15" i="71"/>
  <c r="E16" i="71" s="1"/>
  <c r="E17" i="71"/>
  <c r="U17" i="71" s="1"/>
  <c r="B19" i="71"/>
  <c r="B20" i="71"/>
  <c r="B23" i="71"/>
  <c r="B24" i="71" s="1"/>
  <c r="B25" i="71"/>
  <c r="S25" i="71" s="1"/>
  <c r="X22" i="71"/>
  <c r="E23" i="71"/>
  <c r="E24" i="71"/>
  <c r="N53" i="71"/>
  <c r="E19" i="71"/>
  <c r="E20" i="71"/>
  <c r="E21" i="71" s="1"/>
  <c r="U21" i="71"/>
  <c r="C15" i="71"/>
  <c r="X16" i="71"/>
  <c r="C19" i="71"/>
  <c r="AA20" i="71"/>
  <c r="X21" i="71"/>
  <c r="AA21" i="71"/>
  <c r="AB22" i="71"/>
  <c r="X23" i="71"/>
  <c r="F37" i="71"/>
  <c r="V37" i="71" s="1"/>
  <c r="C13" i="71"/>
  <c r="Y11" i="71"/>
  <c r="Z11" i="71" s="1"/>
  <c r="B13" i="71"/>
  <c r="X13" i="71"/>
  <c r="D15" i="71"/>
  <c r="C24" i="71"/>
  <c r="C25" i="71" s="1"/>
  <c r="C28" i="71"/>
  <c r="C29" i="71" s="1"/>
  <c r="D29" i="71" s="1"/>
  <c r="C32" i="71"/>
  <c r="D32" i="71" s="1"/>
  <c r="D35" i="71"/>
  <c r="P13" i="71"/>
  <c r="E45" i="71"/>
  <c r="U45" i="71" s="1"/>
  <c r="U49" i="71"/>
  <c r="U53" i="71"/>
  <c r="E52" i="71"/>
  <c r="Q13" i="71"/>
  <c r="D39" i="71"/>
  <c r="D43" i="71"/>
  <c r="C48" i="71"/>
  <c r="D47" i="71"/>
  <c r="T53" i="71"/>
  <c r="O53" i="71"/>
  <c r="D53" i="71"/>
  <c r="C52" i="71"/>
  <c r="Q53" i="71"/>
  <c r="C56" i="71"/>
  <c r="E56" i="71"/>
  <c r="E55" i="71" s="1"/>
  <c r="D57" i="71"/>
  <c r="C60" i="71"/>
  <c r="E60" i="71"/>
  <c r="E59" i="71" s="1"/>
  <c r="D61" i="71"/>
  <c r="C64" i="71"/>
  <c r="E64" i="71"/>
  <c r="E63" i="71" s="1"/>
  <c r="D65" i="71"/>
  <c r="C72" i="71"/>
  <c r="C71" i="71" s="1"/>
  <c r="C12" i="71"/>
  <c r="F13" i="71"/>
  <c r="F12" i="71" s="1"/>
  <c r="F11" i="71"/>
  <c r="AB13" i="71"/>
  <c r="E13" i="71"/>
  <c r="E12" i="71"/>
  <c r="E11" i="71" s="1"/>
  <c r="C51" i="71"/>
  <c r="O52" i="71"/>
  <c r="D52" i="71"/>
  <c r="C49" i="71"/>
  <c r="D49" i="71" s="1"/>
  <c r="D48" i="71"/>
  <c r="D60" i="71"/>
  <c r="C59" i="71"/>
  <c r="D59" i="71" s="1"/>
  <c r="D72" i="71"/>
  <c r="D71" i="71"/>
  <c r="D64" i="71"/>
  <c r="C63" i="71"/>
  <c r="D63" i="71" s="1"/>
  <c r="D56" i="71"/>
  <c r="C55" i="71"/>
  <c r="D55" i="71"/>
  <c r="P52" i="71"/>
  <c r="E51" i="71"/>
  <c r="P50" i="71" s="1"/>
  <c r="D36" i="71"/>
  <c r="D28" i="71"/>
  <c r="D24" i="71"/>
  <c r="V13" i="71"/>
  <c r="P51" i="71"/>
  <c r="O51" i="71"/>
  <c r="D51" i="71"/>
  <c r="O50" i="71"/>
  <c r="T29" i="71"/>
  <c r="T3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H21" i="37"/>
  <c r="U21" i="37" s="1"/>
  <c r="F21" i="37"/>
  <c r="F84" i="34"/>
  <c r="H21" i="34"/>
  <c r="F83" i="33"/>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G16" i="3" s="1"/>
  <c r="AC16" i="3"/>
  <c r="H17" i="3"/>
  <c r="G17" i="3" s="1"/>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I5" i="3" s="1"/>
  <c r="BJ493" i="3"/>
  <c r="BK493" i="3"/>
  <c r="BM493" i="3"/>
  <c r="BN493" i="3"/>
  <c r="BL493" i="3" s="1"/>
  <c r="BO493" i="3"/>
  <c r="BP493" i="3"/>
  <c r="BP5" i="3" s="1"/>
  <c r="BR493" i="3"/>
  <c r="BS493" i="3"/>
  <c r="BT493" i="3"/>
  <c r="H494" i="3"/>
  <c r="G494" i="3" s="1"/>
  <c r="AC494" i="3"/>
  <c r="BB494" i="3"/>
  <c r="BC494" i="3"/>
  <c r="BD494" i="3"/>
  <c r="BE494" i="3"/>
  <c r="BF494" i="3"/>
  <c r="BG494" i="3"/>
  <c r="BH494" i="3"/>
  <c r="BH5" i="3" s="1"/>
  <c r="BI494" i="3"/>
  <c r="BJ494" i="3"/>
  <c r="BK494" i="3"/>
  <c r="BM494" i="3"/>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L517" i="3" s="1"/>
  <c r="BN517" i="3"/>
  <c r="BO517" i="3"/>
  <c r="BP517" i="3"/>
  <c r="BR517" i="3"/>
  <c r="BS517" i="3"/>
  <c r="BT517" i="3"/>
  <c r="H518" i="3"/>
  <c r="AC518" i="3"/>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E97" i="39" s="1"/>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U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AA36" i="34" s="1"/>
  <c r="J35" i="34"/>
  <c r="W9" i="34"/>
  <c r="U34" i="34"/>
  <c r="H39" i="33"/>
  <c r="AB39" i="33"/>
  <c r="F26" i="33"/>
  <c r="AA26" i="33"/>
  <c r="S9" i="33"/>
  <c r="U33" i="33"/>
  <c r="U35" i="33"/>
  <c r="S40"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AA27" i="39" s="1"/>
  <c r="F11" i="21"/>
  <c r="S11" i="21"/>
  <c r="S40" i="21"/>
  <c r="U34" i="21"/>
  <c r="C25" i="39"/>
  <c r="C27" i="39"/>
  <c r="C21" i="39"/>
  <c r="H11" i="39"/>
  <c r="S40" i="39"/>
  <c r="C15" i="39"/>
  <c r="H32" i="33"/>
  <c r="H11" i="21"/>
  <c r="U11" i="21" s="1"/>
  <c r="J11" i="21"/>
  <c r="W11" i="21" s="1"/>
  <c r="H37" i="40"/>
  <c r="U37" i="40" s="1"/>
  <c r="H36" i="40"/>
  <c r="AB36" i="40" s="1"/>
  <c r="F35" i="40"/>
  <c r="H23" i="40"/>
  <c r="AB23" i="40" s="1"/>
  <c r="H17" i="40"/>
  <c r="U17" i="40" s="1"/>
  <c r="J15" i="40"/>
  <c r="J11" i="40"/>
  <c r="AB8" i="39"/>
  <c r="AB12" i="33"/>
  <c r="AC12" i="34"/>
  <c r="AA12" i="34"/>
  <c r="AB12" i="35"/>
  <c r="W32" i="40"/>
  <c r="S44" i="39"/>
  <c r="F37" i="39"/>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S26" i="33"/>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J37" i="37"/>
  <c r="AC37" i="37"/>
  <c r="H37" i="37"/>
  <c r="U37" i="37"/>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J47" i="34"/>
  <c r="F13" i="35"/>
  <c r="J13" i="35"/>
  <c r="AC13" i="35" s="1"/>
  <c r="H13" i="35"/>
  <c r="J25" i="35"/>
  <c r="W25" i="35" s="1"/>
  <c r="F25" i="35"/>
  <c r="S25" i="35" s="1"/>
  <c r="H25" i="35"/>
  <c r="AB25" i="35" s="1"/>
  <c r="J35" i="35"/>
  <c r="AC35" i="35" s="1"/>
  <c r="F35" i="35"/>
  <c r="AA35" i="35" s="1"/>
  <c r="H35" i="35"/>
  <c r="J25" i="36"/>
  <c r="W25" i="36" s="1"/>
  <c r="F25" i="36"/>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J37" i="40"/>
  <c r="AC37" i="40" s="1"/>
  <c r="J13" i="40"/>
  <c r="F14" i="37"/>
  <c r="S14" i="37" s="1"/>
  <c r="F27" i="37"/>
  <c r="AA27" i="37" s="1"/>
  <c r="F13" i="39"/>
  <c r="AA13" i="39" s="1"/>
  <c r="J13" i="39"/>
  <c r="W13" i="39"/>
  <c r="H13" i="39"/>
  <c r="H14" i="40"/>
  <c r="AB14" i="40" s="1"/>
  <c r="J14" i="40"/>
  <c r="W14" i="40" s="1"/>
  <c r="F14" i="40"/>
  <c r="AA14" i="40" s="1"/>
  <c r="J14" i="37"/>
  <c r="AC14" i="37" s="1"/>
  <c r="J27" i="37"/>
  <c r="AC27" i="37" s="1"/>
  <c r="AA44" i="33"/>
  <c r="U31" i="34"/>
  <c r="U46" i="33"/>
  <c r="AA14" i="33"/>
  <c r="J36" i="37"/>
  <c r="AC36" i="37"/>
  <c r="AB11" i="35"/>
  <c r="J10" i="36"/>
  <c r="AB26" i="33"/>
  <c r="AC13" i="36"/>
  <c r="W13" i="36"/>
  <c r="W11" i="35"/>
  <c r="AB46" i="34"/>
  <c r="AC30" i="34"/>
  <c r="AA14" i="34"/>
  <c r="S45" i="33"/>
  <c r="AB45" i="33"/>
  <c r="AB31" i="33"/>
  <c r="U31" i="33"/>
  <c r="W29" i="33"/>
  <c r="U13" i="33"/>
  <c r="AC28" i="21"/>
  <c r="S44" i="34"/>
  <c r="BA586" i="3"/>
  <c r="F17" i="21"/>
  <c r="AA17" i="21" s="1"/>
  <c r="H17" i="21"/>
  <c r="AB17" i="21" s="1"/>
  <c r="F15" i="21"/>
  <c r="S15" i="21" s="1"/>
  <c r="J41" i="39"/>
  <c r="W41" i="39"/>
  <c r="W44" i="39"/>
  <c r="W35" i="39"/>
  <c r="S35" i="39"/>
  <c r="G544" i="3"/>
  <c r="G540" i="3"/>
  <c r="G531" i="3"/>
  <c r="G518" i="3"/>
  <c r="G504" i="3"/>
  <c r="G584" i="3"/>
  <c r="G580" i="3"/>
  <c r="G576" i="3"/>
  <c r="G572" i="3"/>
  <c r="G568" i="3"/>
  <c r="G564" i="3"/>
  <c r="G560" i="3"/>
  <c r="G554" i="3"/>
  <c r="BL584" i="3"/>
  <c r="AZ584" i="3" s="1"/>
  <c r="BL580" i="3"/>
  <c r="BL576" i="3"/>
  <c r="BL572" i="3"/>
  <c r="BL568" i="3"/>
  <c r="BL564" i="3"/>
  <c r="BL560" i="3"/>
  <c r="AZ560" i="3" s="1"/>
  <c r="BL554" i="3"/>
  <c r="BL546" i="3"/>
  <c r="BL542" i="3"/>
  <c r="BL538" i="3"/>
  <c r="BL522" i="3"/>
  <c r="BL502" i="3"/>
  <c r="BL582" i="3"/>
  <c r="BL578" i="3"/>
  <c r="BL574" i="3"/>
  <c r="BL570" i="3"/>
  <c r="BL566" i="3"/>
  <c r="BL562" i="3"/>
  <c r="BL556" i="3"/>
  <c r="BL552" i="3"/>
  <c r="BL544" i="3"/>
  <c r="G533" i="3"/>
  <c r="G525" i="3"/>
  <c r="BL51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AZ552" i="3"/>
  <c r="BA548" i="3"/>
  <c r="BA546" i="3"/>
  <c r="BA544" i="3"/>
  <c r="AZ544" i="3"/>
  <c r="BA542" i="3"/>
  <c r="AZ542" i="3"/>
  <c r="BA526" i="3"/>
  <c r="BA522" i="3"/>
  <c r="AZ522" i="3" s="1"/>
  <c r="BA516" i="3"/>
  <c r="BA506" i="3"/>
  <c r="BA500" i="3"/>
  <c r="BA494"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7" i="3"/>
  <c r="BA545" i="3"/>
  <c r="BA543" i="3"/>
  <c r="BA539" i="3"/>
  <c r="BA531" i="3"/>
  <c r="BA523" i="3"/>
  <c r="BA513" i="3"/>
  <c r="BA503"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AZ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H19" i="37"/>
  <c r="AB19" i="37"/>
  <c r="G123" i="33"/>
  <c r="H123" i="33" s="1"/>
  <c r="I123" i="33" s="1"/>
  <c r="J123" i="33" s="1"/>
  <c r="K123" i="33" s="1"/>
  <c r="L123" i="33" s="1"/>
  <c r="M123" i="33" s="1"/>
  <c r="H42" i="33"/>
  <c r="AB42" i="33"/>
  <c r="J43" i="33"/>
  <c r="AC43" i="33" s="1"/>
  <c r="U43" i="33"/>
  <c r="S28" i="31"/>
  <c r="S27" i="31"/>
  <c r="S26" i="31"/>
  <c r="AC32" i="36"/>
  <c r="AC33" i="36"/>
  <c r="AA12" i="35"/>
  <c r="W14" i="37"/>
  <c r="U33" i="37"/>
  <c r="U39" i="37"/>
  <c r="W26" i="37"/>
  <c r="AC8" i="37"/>
  <c r="U26" i="37"/>
  <c r="AB13" i="34"/>
  <c r="W37" i="34"/>
  <c r="AB37" i="34"/>
  <c r="AC36" i="34"/>
  <c r="AA13" i="33"/>
  <c r="AC31" i="33"/>
  <c r="AC45" i="33"/>
  <c r="W44" i="33"/>
  <c r="U19" i="21"/>
  <c r="W44" i="21"/>
  <c r="AC46" i="21"/>
  <c r="U12" i="21"/>
  <c r="AB38" i="21"/>
  <c r="F43" i="33"/>
  <c r="AA43" i="33"/>
  <c r="W15" i="34"/>
  <c r="AC15" i="34"/>
  <c r="W16" i="35"/>
  <c r="H107" i="37"/>
  <c r="I107" i="37" s="1"/>
  <c r="J107" i="37"/>
  <c r="K107" i="37" s="1"/>
  <c r="L107" i="37" s="1"/>
  <c r="M107" i="37" s="1"/>
  <c r="H37" i="21"/>
  <c r="U37" i="21" s="1"/>
  <c r="S42" i="21"/>
  <c r="H19" i="34"/>
  <c r="AB19" i="34"/>
  <c r="F36" i="35"/>
  <c r="S36" i="35"/>
  <c r="J9" i="37"/>
  <c r="W9" i="37"/>
  <c r="H9" i="37"/>
  <c r="AB9" i="37"/>
  <c r="F9" i="37"/>
  <c r="S9" i="37"/>
  <c r="E71" i="37"/>
  <c r="F15" i="37"/>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W23" i="39"/>
  <c r="AC43" i="39"/>
  <c r="U45" i="39"/>
  <c r="AB44" i="39"/>
  <c r="H25" i="39"/>
  <c r="AB25" i="39"/>
  <c r="J25" i="39"/>
  <c r="F25" i="39"/>
  <c r="F15" i="39"/>
  <c r="AA15" i="39" s="1"/>
  <c r="H15" i="39"/>
  <c r="J15" i="39"/>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K5" i="4"/>
  <c r="B47" i="48" s="1"/>
  <c r="A2" i="9"/>
  <c r="N2" i="43"/>
  <c r="F59" i="43"/>
  <c r="AZ32" i="3"/>
  <c r="AZ546" i="3"/>
  <c r="G546" i="3"/>
  <c r="G524" i="3"/>
  <c r="G303" i="3"/>
  <c r="BL304" i="3"/>
  <c r="G305" i="3"/>
  <c r="BL306" i="3"/>
  <c r="AZ306" i="3" s="1"/>
  <c r="BA308" i="3"/>
  <c r="AZ308" i="3"/>
  <c r="BA309" i="3"/>
  <c r="BL309" i="3"/>
  <c r="AZ309" i="3" s="1"/>
  <c r="G310" i="3"/>
  <c r="BA311" i="3"/>
  <c r="G319" i="3"/>
  <c r="BL320" i="3"/>
  <c r="AZ320" i="3" s="1"/>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BL116" i="3"/>
  <c r="AZ116" i="3"/>
  <c r="G117" i="3"/>
  <c r="BA119" i="3"/>
  <c r="AZ119" i="3" s="1"/>
  <c r="BL120" i="3"/>
  <c r="G121" i="3"/>
  <c r="BA123" i="3"/>
  <c r="BL124" i="3"/>
  <c r="G125" i="3"/>
  <c r="BA127" i="3"/>
  <c r="AZ127" i="3" s="1"/>
  <c r="BL128" i="3"/>
  <c r="G129" i="3"/>
  <c r="BA131" i="3"/>
  <c r="BL132" i="3"/>
  <c r="AZ132" i="3" s="1"/>
  <c r="G133" i="3"/>
  <c r="BA135" i="3"/>
  <c r="AZ135" i="3" s="1"/>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63" i="3"/>
  <c r="AZ67" i="3"/>
  <c r="AZ71" i="3"/>
  <c r="AZ75" i="3"/>
  <c r="AZ83" i="3"/>
  <c r="AZ136" i="3"/>
  <c r="AZ152" i="3"/>
  <c r="AZ168" i="3"/>
  <c r="AZ184" i="3"/>
  <c r="AZ200" i="3"/>
  <c r="AZ85" i="3"/>
  <c r="AZ89" i="3"/>
  <c r="AZ93" i="3"/>
  <c r="AZ101" i="3"/>
  <c r="AZ105" i="3"/>
  <c r="AZ109" i="3"/>
  <c r="AZ128" i="3"/>
  <c r="G534" i="3"/>
  <c r="G512"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BL307" i="3"/>
  <c r="AZ307" i="3"/>
  <c r="G308" i="3"/>
  <c r="BA310" i="3"/>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BL388" i="3"/>
  <c r="AZ388" i="3" s="1"/>
  <c r="G389" i="3"/>
  <c r="BA391" i="3"/>
  <c r="AZ391" i="3" s="1"/>
  <c r="BL392" i="3"/>
  <c r="G393" i="3"/>
  <c r="AZ263" i="3"/>
  <c r="AZ275" i="3"/>
  <c r="AZ279" i="3"/>
  <c r="AZ283" i="3"/>
  <c r="AZ287" i="3"/>
  <c r="AZ291" i="3"/>
  <c r="AZ295" i="3"/>
  <c r="AZ299" i="3"/>
  <c r="BD5" i="3"/>
  <c r="AZ317" i="3"/>
  <c r="AZ333" i="3"/>
  <c r="G548" i="3"/>
  <c r="G502" i="3"/>
  <c r="AZ343" i="3"/>
  <c r="BE5" i="3"/>
  <c r="BA17" i="3"/>
  <c r="AZ350" i="3"/>
  <c r="AZ364" i="3"/>
  <c r="AZ368" i="3"/>
  <c r="BA15" i="3"/>
  <c r="AZ384" i="3"/>
  <c r="AZ392" i="3"/>
  <c r="AZ396" i="3"/>
  <c r="AZ491" i="3"/>
  <c r="AZ376" i="3"/>
  <c r="AZ382" i="3"/>
  <c r="U36" i="40"/>
  <c r="N4" i="43"/>
  <c r="F36" i="43"/>
  <c r="F81" i="43"/>
  <c r="H83" i="43"/>
  <c r="H113" i="43"/>
  <c r="F48" i="43"/>
  <c r="N7" i="43"/>
  <c r="F70" i="43"/>
  <c r="H73" i="43"/>
  <c r="M6" i="43"/>
  <c r="M11" i="43"/>
  <c r="E17" i="43"/>
  <c r="F39" i="43"/>
  <c r="I17" i="43"/>
  <c r="F35" i="43"/>
  <c r="J17" i="43"/>
  <c r="F6" i="1"/>
  <c r="G6" i="1" s="1"/>
  <c r="U17" i="39"/>
  <c r="S14" i="35"/>
  <c r="U35" i="21"/>
  <c r="AC35" i="21"/>
  <c r="G8" i="1"/>
  <c r="G9" i="1"/>
  <c r="G10" i="1"/>
  <c r="F48" i="9"/>
  <c r="O52" i="9" s="1"/>
  <c r="AC11" i="39"/>
  <c r="W37" i="37"/>
  <c r="AC44" i="34"/>
  <c r="U13" i="37"/>
  <c r="J37" i="33"/>
  <c r="W37" i="33"/>
  <c r="F106" i="33"/>
  <c r="G106" i="33" s="1"/>
  <c r="H106" i="33" s="1"/>
  <c r="I106" i="33" s="1"/>
  <c r="J106" i="33" s="1"/>
  <c r="K106" i="33" s="1"/>
  <c r="L106" i="33" s="1"/>
  <c r="M106" i="33" s="1"/>
  <c r="J34" i="33"/>
  <c r="F33" i="34"/>
  <c r="S33" i="34" s="1"/>
  <c r="H20" i="36"/>
  <c r="J20" i="36"/>
  <c r="W20" i="36" s="1"/>
  <c r="J27" i="36"/>
  <c r="W27" i="36"/>
  <c r="AC33" i="40"/>
  <c r="H35" i="40"/>
  <c r="AB35" i="40"/>
  <c r="AC29" i="35"/>
  <c r="W29" i="35"/>
  <c r="H35" i="37"/>
  <c r="U35" i="37"/>
  <c r="AC14" i="35"/>
  <c r="H20" i="35"/>
  <c r="U20" i="35" s="1"/>
  <c r="F20" i="35"/>
  <c r="AA20" i="35" s="1"/>
  <c r="AB29" i="36"/>
  <c r="U29" i="36"/>
  <c r="H32" i="37"/>
  <c r="AB32" i="37"/>
  <c r="F96" i="37"/>
  <c r="H27" i="40"/>
  <c r="U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c r="J39" i="39"/>
  <c r="AC39" i="39"/>
  <c r="F97" i="39"/>
  <c r="G97" i="39" s="1"/>
  <c r="AZ353" i="3"/>
  <c r="AZ354" i="3"/>
  <c r="AZ386" i="3"/>
  <c r="C40" i="11"/>
  <c r="AZ215" i="3"/>
  <c r="AZ223" i="3"/>
  <c r="AZ227" i="3"/>
  <c r="AZ232" i="3"/>
  <c r="AZ235" i="3"/>
  <c r="AZ240" i="3"/>
  <c r="AZ243" i="3"/>
  <c r="AZ248" i="3"/>
  <c r="AZ251" i="3"/>
  <c r="AZ256" i="3"/>
  <c r="AZ259" i="3"/>
  <c r="AZ268" i="3"/>
  <c r="AZ271" i="3"/>
  <c r="AZ280" i="3"/>
  <c r="AZ288" i="3"/>
  <c r="AZ296" i="3"/>
  <c r="AZ117" i="3"/>
  <c r="AZ133" i="3"/>
  <c r="AZ29" i="3"/>
  <c r="AZ31" i="3"/>
  <c r="AZ33" i="3"/>
  <c r="AZ66" i="3"/>
  <c r="AZ69" i="3"/>
  <c r="AZ74" i="3"/>
  <c r="AZ77" i="3"/>
  <c r="AZ82"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AA20" i="36" s="1"/>
  <c r="J33" i="34"/>
  <c r="AC33" i="34" s="1"/>
  <c r="H23" i="39"/>
  <c r="U23" i="39" s="1"/>
  <c r="D48" i="9"/>
  <c r="M52" i="9" s="1"/>
  <c r="H86" i="43"/>
  <c r="H82" i="43"/>
  <c r="H87" i="43"/>
  <c r="K9" i="1"/>
  <c r="M9" i="1" s="1"/>
  <c r="AE9" i="1"/>
  <c r="D93" i="9"/>
  <c r="K6" i="1"/>
  <c r="AC26" i="33"/>
  <c r="W26" i="33"/>
  <c r="AB34" i="36"/>
  <c r="U34" i="36"/>
  <c r="AB33" i="36"/>
  <c r="U33" i="36"/>
  <c r="AC12" i="39"/>
  <c r="W12" i="39"/>
  <c r="AC39" i="40"/>
  <c r="W39" i="40"/>
  <c r="AZ401" i="3"/>
  <c r="AZ412" i="3"/>
  <c r="AZ417" i="3"/>
  <c r="AZ428" i="3"/>
  <c r="AZ433" i="3"/>
  <c r="AZ465" i="3"/>
  <c r="N104" i="46"/>
  <c r="W12" i="33"/>
  <c r="AC12" i="33"/>
  <c r="AA32" i="36"/>
  <c r="S32" i="36"/>
  <c r="AZ408" i="3"/>
  <c r="AZ437" i="3"/>
  <c r="AZ441" i="3"/>
  <c r="AZ457" i="3"/>
  <c r="AZ473" i="3"/>
  <c r="AZ490" i="3"/>
  <c r="BL14" i="3"/>
  <c r="AZ266" i="3"/>
  <c r="AC13"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35" i="3"/>
  <c r="S12" i="1"/>
  <c r="AQ12" i="1" s="1"/>
  <c r="R12" i="1"/>
  <c r="B12" i="1"/>
  <c r="E12" i="1" s="1"/>
  <c r="S10" i="1"/>
  <c r="AQ10" i="1" s="1"/>
  <c r="R10" i="1"/>
  <c r="B10" i="1"/>
  <c r="E10" i="1" s="1"/>
  <c r="D1" i="66"/>
  <c r="E10" i="66" s="1"/>
  <c r="AZ80" i="3"/>
  <c r="AZ84" i="3"/>
  <c r="AZ88" i="3"/>
  <c r="AZ107" i="3"/>
  <c r="AZ111" i="3"/>
  <c r="K12" i="1"/>
  <c r="M12" i="1" s="1"/>
  <c r="O12" i="1" s="1"/>
  <c r="S13" i="1"/>
  <c r="AR13" i="1" s="1"/>
  <c r="R13" i="1"/>
  <c r="S11" i="1"/>
  <c r="R11" i="1"/>
  <c r="S9" i="1"/>
  <c r="AQ9" i="1" s="1"/>
  <c r="R9" i="1"/>
  <c r="J51" i="67"/>
  <c r="C42" i="1"/>
  <c r="H100" i="43"/>
  <c r="C30" i="66"/>
  <c r="E26" i="66"/>
  <c r="AA34" i="33"/>
  <c r="B41" i="1"/>
  <c r="F53" i="9" s="1"/>
  <c r="S22" i="31"/>
  <c r="R22" i="31" s="1"/>
  <c r="B21" i="31" s="1"/>
  <c r="J100" i="43"/>
  <c r="AB37" i="40"/>
  <c r="U35" i="40"/>
  <c r="W38" i="40"/>
  <c r="S17" i="40"/>
  <c r="S23" i="40"/>
  <c r="AC17" i="40"/>
  <c r="AB27" i="40"/>
  <c r="AA19" i="40"/>
  <c r="AA27" i="40"/>
  <c r="U21" i="40"/>
  <c r="AB19" i="40"/>
  <c r="W42" i="39"/>
  <c r="W39" i="39"/>
  <c r="S43"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27" i="36"/>
  <c r="AA26" i="36"/>
  <c r="AA34" i="36"/>
  <c r="S29" i="36"/>
  <c r="AC26" i="36"/>
  <c r="AB14" i="36"/>
  <c r="U22" i="36"/>
  <c r="S16" i="36"/>
  <c r="S24" i="36"/>
  <c r="U23" i="36"/>
  <c r="U16" i="36"/>
  <c r="U10" i="36"/>
  <c r="AA25" i="35"/>
  <c r="W24"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S25"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W25" i="34"/>
  <c r="AB8" i="34"/>
  <c r="AA33" i="34"/>
  <c r="U43" i="34"/>
  <c r="AC39" i="34"/>
  <c r="W41" i="34"/>
  <c r="AC42" i="34"/>
  <c r="AB35" i="34"/>
  <c r="S43" i="34"/>
  <c r="AB41" i="34"/>
  <c r="AA45" i="34"/>
  <c r="AA25" i="34"/>
  <c r="S17" i="34"/>
  <c r="U27" i="34"/>
  <c r="U15"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S19" i="33" s="1"/>
  <c r="W19" i="33"/>
  <c r="J17" i="33"/>
  <c r="F79" i="33"/>
  <c r="S15" i="33"/>
  <c r="W15" i="33"/>
  <c r="I66" i="33"/>
  <c r="J10" i="33"/>
  <c r="H10" i="33"/>
  <c r="U10" i="33" s="1"/>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BL17" i="3"/>
  <c r="AZ17" i="3" s="1"/>
  <c r="BL13" i="3"/>
  <c r="J56" i="9"/>
  <c r="J57" i="9"/>
  <c r="A24" i="51"/>
  <c r="B18" i="72"/>
  <c r="U29" i="34"/>
  <c r="E5" i="6"/>
  <c r="D9" i="69" s="1"/>
  <c r="C9" i="69" s="1"/>
  <c r="P10" i="1"/>
  <c r="H22" i="43"/>
  <c r="H101" i="43"/>
  <c r="H107" i="43" s="1"/>
  <c r="M101" i="43"/>
  <c r="E101" i="43"/>
  <c r="E104" i="43" s="1"/>
  <c r="E32" i="6"/>
  <c r="L19" i="6"/>
  <c r="G1" i="68"/>
  <c r="K1" i="12"/>
  <c r="AR12" i="1"/>
  <c r="T12" i="1"/>
  <c r="AR10" i="1"/>
  <c r="T10" i="1"/>
  <c r="E19" i="69"/>
  <c r="E19" i="68"/>
  <c r="E19" i="11"/>
  <c r="E1" i="73"/>
  <c r="G41" i="69"/>
  <c r="G22" i="69"/>
  <c r="G41" i="68"/>
  <c r="G22" i="68"/>
  <c r="G27" i="12"/>
  <c r="G26" i="12"/>
  <c r="G41" i="11"/>
  <c r="G22" i="11"/>
  <c r="G25" i="12"/>
  <c r="C100" i="43"/>
  <c r="E11" i="43"/>
  <c r="E10" i="43"/>
  <c r="E9" i="43"/>
  <c r="E8" i="43"/>
  <c r="C7" i="43" s="1"/>
  <c r="E81" i="43"/>
  <c r="B79" i="43" s="1"/>
  <c r="AH11" i="43"/>
  <c r="AD11" i="43"/>
  <c r="Z11" i="43"/>
  <c r="AI11" i="43"/>
  <c r="AE11" i="43"/>
  <c r="AA11" i="43"/>
  <c r="AA13" i="43" s="1"/>
  <c r="E48" i="43"/>
  <c r="B46" i="43" s="1"/>
  <c r="E70" i="43"/>
  <c r="B68" i="43" s="1"/>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G1" i="15"/>
  <c r="G1" i="69"/>
  <c r="G1" i="67"/>
  <c r="W23" i="40"/>
  <c r="U32" i="40"/>
  <c r="AB31" i="40"/>
  <c r="S37" i="40"/>
  <c r="AB28" i="40"/>
  <c r="W28" i="40"/>
  <c r="W34" i="40"/>
  <c r="W19" i="40"/>
  <c r="S36" i="40"/>
  <c r="AC14" i="40"/>
  <c r="S33" i="40"/>
  <c r="AA15" i="40"/>
  <c r="U11" i="40"/>
  <c r="U15" i="40"/>
  <c r="AB17" i="40"/>
  <c r="U8" i="40"/>
  <c r="S8" i="40"/>
  <c r="AA39" i="39"/>
  <c r="AC41" i="39"/>
  <c r="U42" i="39"/>
  <c r="AB23" i="39"/>
  <c r="AB41" i="39"/>
  <c r="W25" i="39"/>
  <c r="AC25" i="39"/>
  <c r="U13" i="39"/>
  <c r="AB13" i="39"/>
  <c r="S13" i="39"/>
  <c r="S14" i="39"/>
  <c r="AA14" i="39"/>
  <c r="U43" i="39"/>
  <c r="AB43" i="39"/>
  <c r="AB11" i="39"/>
  <c r="U11" i="39"/>
  <c r="S27" i="39"/>
  <c r="W17" i="39"/>
  <c r="AC17" i="39"/>
  <c r="W31" i="39"/>
  <c r="AC31" i="39"/>
  <c r="S23" i="39"/>
  <c r="AA45" i="39"/>
  <c r="AB39" i="39"/>
  <c r="W34" i="39"/>
  <c r="S8" i="39"/>
  <c r="AC25" i="36"/>
  <c r="U32" i="36"/>
  <c r="W29" i="36"/>
  <c r="AC20" i="36"/>
  <c r="AB28" i="36"/>
  <c r="W9" i="36"/>
  <c r="W22" i="36"/>
  <c r="W23" i="36"/>
  <c r="S9" i="36"/>
  <c r="AB20" i="35"/>
  <c r="U25" i="35"/>
  <c r="W33" i="35"/>
  <c r="AA30" i="35"/>
  <c r="U24" i="35"/>
  <c r="W35" i="35"/>
  <c r="AA16" i="35"/>
  <c r="AA35" i="37"/>
  <c r="W36" i="37"/>
  <c r="S27" i="37"/>
  <c r="W32" i="37"/>
  <c r="U38" i="37"/>
  <c r="AB37" i="37"/>
  <c r="AC34" i="37"/>
  <c r="AB35" i="37"/>
  <c r="AA11" i="37"/>
  <c r="AA31" i="37"/>
  <c r="U19" i="37"/>
  <c r="AA29" i="37"/>
  <c r="AA8" i="37"/>
  <c r="U8" i="37"/>
  <c r="AA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AB44" i="33"/>
  <c r="AA30" i="33"/>
  <c r="AC14" i="33"/>
  <c r="W14" i="33"/>
  <c r="AC30" i="33"/>
  <c r="W30" i="33"/>
  <c r="S31" i="33"/>
  <c r="AA31" i="33"/>
  <c r="W13" i="33"/>
  <c r="AC13" i="33"/>
  <c r="U15" i="33"/>
  <c r="S11" i="33"/>
  <c r="AC28" i="33"/>
  <c r="S28" i="33"/>
  <c r="W9" i="33"/>
  <c r="S44" i="21"/>
  <c r="U28" i="21"/>
  <c r="AA11" i="21"/>
  <c r="S45" i="21"/>
  <c r="I101" i="21"/>
  <c r="J101" i="21"/>
  <c r="K101" i="21" s="1"/>
  <c r="L101" i="21" s="1"/>
  <c r="M101" i="21" s="1"/>
  <c r="F33" i="21"/>
  <c r="S33" i="21" s="1"/>
  <c r="J33" i="21"/>
  <c r="H33" i="21"/>
  <c r="AB33" i="21" s="1"/>
  <c r="F37" i="21"/>
  <c r="AA37" i="21" s="1"/>
  <c r="AA26" i="21"/>
  <c r="AB46" i="21"/>
  <c r="U40" i="21"/>
  <c r="AB31" i="21"/>
  <c r="U31" i="21"/>
  <c r="AC15" i="21"/>
  <c r="AB13" i="21"/>
  <c r="S35" i="21"/>
  <c r="J37" i="21"/>
  <c r="W37" i="21" s="1"/>
  <c r="H15" i="21"/>
  <c r="U15" i="21" s="1"/>
  <c r="J17" i="21"/>
  <c r="AC17" i="21" s="1"/>
  <c r="AC19" i="21"/>
  <c r="W39" i="21"/>
  <c r="AC14" i="21"/>
  <c r="S46" i="21"/>
  <c r="H45" i="21"/>
  <c r="U45" i="21"/>
  <c r="F29" i="21"/>
  <c r="S29" i="21"/>
  <c r="AC38" i="21"/>
  <c r="H32" i="21"/>
  <c r="AB32" i="21" s="1"/>
  <c r="H9" i="21"/>
  <c r="J9" i="21"/>
  <c r="W9" i="21" s="1"/>
  <c r="J32" i="21"/>
  <c r="F32" i="21"/>
  <c r="AA32" i="21" s="1"/>
  <c r="U17" i="21"/>
  <c r="W29" i="21"/>
  <c r="S19" i="21"/>
  <c r="S9" i="21"/>
  <c r="AA9" i="21"/>
  <c r="K141" i="21"/>
  <c r="K144" i="21"/>
  <c r="K143" i="21"/>
  <c r="U27" i="21"/>
  <c r="AB25" i="21"/>
  <c r="AB44" i="21"/>
  <c r="AA30" i="21"/>
  <c r="W42" i="21"/>
  <c r="AC45" i="21"/>
  <c r="F10" i="21"/>
  <c r="K145" i="21"/>
  <c r="W25" i="21"/>
  <c r="AA29"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F30" i="68"/>
  <c r="C30" i="68" s="1"/>
  <c r="F30" i="11"/>
  <c r="C48" i="11" s="1"/>
  <c r="F28" i="67"/>
  <c r="C28" i="67" s="1"/>
  <c r="F31" i="12"/>
  <c r="F52" i="9"/>
  <c r="M18" i="67"/>
  <c r="F32" i="67"/>
  <c r="F60" i="67" s="1"/>
  <c r="F30" i="69"/>
  <c r="C48" i="69" s="1"/>
  <c r="F32" i="15"/>
  <c r="F60" i="15" s="1"/>
  <c r="M18" i="15"/>
  <c r="F28" i="15"/>
  <c r="T13" i="1"/>
  <c r="D9" i="68"/>
  <c r="C9" i="68" s="1"/>
  <c r="S7" i="1"/>
  <c r="T7" i="1" s="1"/>
  <c r="E7" i="70"/>
  <c r="C24" i="12"/>
  <c r="AA39" i="40"/>
  <c r="S39" i="40"/>
  <c r="S12" i="33"/>
  <c r="C16" i="43"/>
  <c r="D5" i="43" s="1"/>
  <c r="D68" i="9"/>
  <c r="F54" i="9"/>
  <c r="J32" i="39"/>
  <c r="H107" i="39"/>
  <c r="I107" i="39" s="1"/>
  <c r="J107" i="39" s="1"/>
  <c r="K107" i="39" s="1"/>
  <c r="L107" i="39" s="1"/>
  <c r="M107" i="39" s="1"/>
  <c r="H32" i="39"/>
  <c r="U32" i="39" s="1"/>
  <c r="AA32" i="39"/>
  <c r="S32" i="39"/>
  <c r="AB21" i="39"/>
  <c r="U21" i="39"/>
  <c r="AA21" i="39"/>
  <c r="S21" i="39"/>
  <c r="AC21" i="39"/>
  <c r="W21" i="39"/>
  <c r="S26" i="35"/>
  <c r="U9" i="35"/>
  <c r="AA9" i="35"/>
  <c r="S9" i="35"/>
  <c r="AC26" i="35"/>
  <c r="W26" i="35"/>
  <c r="AB26" i="35"/>
  <c r="AC17" i="37"/>
  <c r="S17" i="37"/>
  <c r="J19" i="37"/>
  <c r="W19" i="37" s="1"/>
  <c r="S19" i="37"/>
  <c r="AA19" i="37"/>
  <c r="AA23" i="37"/>
  <c r="J23" i="37"/>
  <c r="G79" i="37"/>
  <c r="J1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D121" i="9"/>
  <c r="D7" i="52" s="1"/>
  <c r="K120" i="9"/>
  <c r="J59" i="9"/>
  <c r="J61" i="9" s="1"/>
  <c r="T8" i="1"/>
  <c r="B5" i="62"/>
  <c r="B73" i="72" s="1"/>
  <c r="L27" i="6"/>
  <c r="AP7" i="1"/>
  <c r="C36" i="69" s="1"/>
  <c r="M7" i="1"/>
  <c r="O7" i="1" s="1"/>
  <c r="AB45" i="21"/>
  <c r="AC33" i="21"/>
  <c r="W33" i="21"/>
  <c r="AA33" i="21"/>
  <c r="W32" i="21"/>
  <c r="AC32" i="21"/>
  <c r="AB9" i="21"/>
  <c r="U9" i="21"/>
  <c r="S32" i="21"/>
  <c r="AC9" i="21"/>
  <c r="U32" i="21"/>
  <c r="AA10" i="21"/>
  <c r="S10" i="21"/>
  <c r="A18" i="62"/>
  <c r="B64" i="72" s="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F1" i="67"/>
  <c r="Q52" i="67"/>
  <c r="AC11" i="37"/>
  <c r="W11" i="37"/>
  <c r="AC11" i="34"/>
  <c r="R7" i="1"/>
  <c r="C13" i="12"/>
  <c r="F34" i="11"/>
  <c r="F11" i="12"/>
  <c r="F34" i="68"/>
  <c r="R8" i="1"/>
  <c r="AE7" i="1"/>
  <c r="AE8" i="1"/>
  <c r="AG6" i="1"/>
  <c r="H109" i="9"/>
  <c r="D124" i="9" s="1"/>
  <c r="D16" i="53"/>
  <c r="B34" i="72" s="1"/>
  <c r="J7" i="33"/>
  <c r="W7" i="33" s="1"/>
  <c r="F7" i="33"/>
  <c r="S7" i="33" s="1"/>
  <c r="H7" i="33"/>
  <c r="U7" i="33" s="1"/>
  <c r="AA7" i="33"/>
  <c r="R48" i="33" s="1"/>
  <c r="H112" i="9"/>
  <c r="D21" i="53"/>
  <c r="B39" i="72" s="1"/>
  <c r="H111" i="9"/>
  <c r="D126" i="9" s="1"/>
  <c r="D19" i="53"/>
  <c r="B38" i="72" s="1"/>
  <c r="D59" i="9"/>
  <c r="M55" i="9"/>
  <c r="AD3" i="71"/>
  <c r="M29" i="67"/>
  <c r="M22" i="67"/>
  <c r="L47" i="15"/>
  <c r="J15" i="15"/>
  <c r="E10" i="76"/>
  <c r="M24" i="67"/>
  <c r="F6" i="67"/>
  <c r="F9" i="15"/>
  <c r="F38" i="15"/>
  <c r="M28" i="15"/>
  <c r="E7" i="76"/>
  <c r="E2" i="69"/>
  <c r="AO12" i="1"/>
  <c r="F37" i="15"/>
  <c r="F13" i="67"/>
  <c r="F42" i="67"/>
  <c r="F37" i="67"/>
  <c r="D2" i="36"/>
  <c r="B10" i="76"/>
  <c r="AO11" i="1"/>
  <c r="B13" i="76"/>
  <c r="D2" i="33"/>
  <c r="E8" i="76"/>
  <c r="E2" i="68"/>
  <c r="D2" i="35"/>
  <c r="AO13" i="1"/>
  <c r="E11" i="76"/>
  <c r="E13" i="76"/>
  <c r="D2" i="34"/>
  <c r="B12" i="76"/>
  <c r="AO7" i="1"/>
  <c r="B9" i="76"/>
  <c r="B7" i="76"/>
  <c r="AO9" i="1"/>
  <c r="D2" i="21"/>
  <c r="B8" i="76"/>
  <c r="M8" i="67"/>
  <c r="F8" i="67"/>
  <c r="F16" i="67"/>
  <c r="M8" i="15"/>
  <c r="F8" i="15"/>
  <c r="F40" i="67"/>
  <c r="AO8" i="1"/>
  <c r="B11" i="76"/>
  <c r="F6" i="15"/>
  <c r="J15" i="67"/>
  <c r="F35" i="67"/>
  <c r="M22" i="15"/>
  <c r="E9" i="76"/>
  <c r="D2" i="37"/>
  <c r="E12" i="76"/>
  <c r="C76" i="15"/>
  <c r="F20" i="31"/>
  <c r="M6" i="67"/>
  <c r="M27" i="15"/>
  <c r="M21" i="67"/>
  <c r="F13" i="15"/>
  <c r="L48" i="15"/>
  <c r="AO10" i="1"/>
  <c r="F43" i="15"/>
  <c r="M26" i="67"/>
  <c r="F104" i="43" l="1"/>
  <c r="F107" i="43"/>
  <c r="F106" i="43"/>
  <c r="F105" i="43"/>
  <c r="F102" i="43"/>
  <c r="F103" i="43"/>
  <c r="F109" i="43"/>
  <c r="AZ527" i="3"/>
  <c r="AZ523" i="3"/>
  <c r="U13" i="40"/>
  <c r="AB13" i="40"/>
  <c r="AC27" i="40"/>
  <c r="W27" i="40"/>
  <c r="AZ524" i="3"/>
  <c r="AZ518" i="3"/>
  <c r="AZ517" i="3"/>
  <c r="AZ514" i="3"/>
  <c r="M109" i="43"/>
  <c r="W34" i="33"/>
  <c r="AC34" i="33"/>
  <c r="AZ380" i="3"/>
  <c r="AZ311" i="3"/>
  <c r="AA25" i="39"/>
  <c r="S25" i="39"/>
  <c r="AA15" i="37"/>
  <c r="S15" i="37"/>
  <c r="AZ495" i="3"/>
  <c r="AZ513" i="3"/>
  <c r="AZ500" i="3"/>
  <c r="W13" i="40"/>
  <c r="AC13" i="40"/>
  <c r="U28" i="37"/>
  <c r="AB28" i="37"/>
  <c r="AC47" i="34"/>
  <c r="W47" i="34"/>
  <c r="AC31" i="34"/>
  <c r="W31" i="34"/>
  <c r="U23" i="34"/>
  <c r="AB23" i="34"/>
  <c r="AA37" i="39"/>
  <c r="S37" i="39"/>
  <c r="W11" i="40"/>
  <c r="AC11" i="40"/>
  <c r="AA35" i="40"/>
  <c r="S35" i="40"/>
  <c r="S39" i="37"/>
  <c r="AA39" i="37"/>
  <c r="AB36" i="39"/>
  <c r="U36" i="39"/>
  <c r="AB43" i="21"/>
  <c r="U43" i="21"/>
  <c r="AA34" i="21"/>
  <c r="S34" i="21"/>
  <c r="H23" i="35"/>
  <c r="J23" i="35"/>
  <c r="F23" i="35"/>
  <c r="J11" i="36"/>
  <c r="H11" i="36"/>
  <c r="F11" i="36"/>
  <c r="S31" i="36"/>
  <c r="AA31" i="36"/>
  <c r="J12" i="37"/>
  <c r="H12" i="37"/>
  <c r="F12" i="37"/>
  <c r="BA549" i="3"/>
  <c r="AZ549" i="3" s="1"/>
  <c r="BA541" i="3"/>
  <c r="AZ541" i="3" s="1"/>
  <c r="BL539" i="3"/>
  <c r="AZ539" i="3" s="1"/>
  <c r="BA537" i="3"/>
  <c r="AZ537" i="3" s="1"/>
  <c r="BL535" i="3"/>
  <c r="AZ535" i="3" s="1"/>
  <c r="BA533" i="3"/>
  <c r="AZ533" i="3" s="1"/>
  <c r="BL531" i="3"/>
  <c r="AZ531" i="3" s="1"/>
  <c r="BA529" i="3"/>
  <c r="AZ529" i="3" s="1"/>
  <c r="BL527" i="3"/>
  <c r="BA525" i="3"/>
  <c r="AZ525" i="3" s="1"/>
  <c r="BL523" i="3"/>
  <c r="BA521" i="3"/>
  <c r="AZ521" i="3" s="1"/>
  <c r="BL519" i="3"/>
  <c r="BA519" i="3"/>
  <c r="AZ519" i="3" s="1"/>
  <c r="BL515" i="3"/>
  <c r="BA515" i="3"/>
  <c r="AZ515" i="3" s="1"/>
  <c r="BL511" i="3"/>
  <c r="BA511" i="3"/>
  <c r="AZ511" i="3" s="1"/>
  <c r="BA509" i="3"/>
  <c r="AZ509" i="3" s="1"/>
  <c r="BL508" i="3"/>
  <c r="BA508" i="3"/>
  <c r="BL506" i="3"/>
  <c r="AZ506" i="3" s="1"/>
  <c r="BL504" i="3"/>
  <c r="BA504" i="3"/>
  <c r="AZ504" i="3" s="1"/>
  <c r="BA502" i="3"/>
  <c r="AZ502" i="3" s="1"/>
  <c r="BL498" i="3"/>
  <c r="BA498" i="3"/>
  <c r="BL496" i="3"/>
  <c r="BA496" i="3"/>
  <c r="BT5" i="3"/>
  <c r="G28" i="6" s="1"/>
  <c r="BM5" i="3"/>
  <c r="F29" i="6" s="1"/>
  <c r="BJ5" i="3"/>
  <c r="BB5" i="3"/>
  <c r="BS5" i="3"/>
  <c r="F28" i="6" s="1"/>
  <c r="F30" i="6" s="1"/>
  <c r="AC5" i="3"/>
  <c r="D20" i="53"/>
  <c r="B40" i="72" s="1"/>
  <c r="H110" i="9"/>
  <c r="D18" i="53" s="1"/>
  <c r="B35" i="72" s="1"/>
  <c r="C65" i="40"/>
  <c r="AR8" i="1"/>
  <c r="M103" i="43"/>
  <c r="J22" i="43"/>
  <c r="AB15" i="21"/>
  <c r="S37" i="21"/>
  <c r="AC37" i="21"/>
  <c r="AA19" i="33"/>
  <c r="S28" i="21"/>
  <c r="AA15" i="21"/>
  <c r="W17" i="21"/>
  <c r="AA31" i="21"/>
  <c r="F13" i="21"/>
  <c r="W30" i="21"/>
  <c r="AB37" i="21"/>
  <c r="W8" i="21"/>
  <c r="AB14" i="21"/>
  <c r="AB42" i="21"/>
  <c r="W8" i="33"/>
  <c r="U37" i="33"/>
  <c r="S33" i="33"/>
  <c r="AB47" i="34"/>
  <c r="AC45" i="34"/>
  <c r="AB40" i="34"/>
  <c r="S33" i="37"/>
  <c r="U36" i="37"/>
  <c r="S28" i="37"/>
  <c r="S35" i="35"/>
  <c r="S24" i="35"/>
  <c r="AC25" i="35"/>
  <c r="AA13" i="36"/>
  <c r="U25" i="36"/>
  <c r="S28" i="36"/>
  <c r="S20" i="36"/>
  <c r="U38" i="39"/>
  <c r="S31" i="40"/>
  <c r="W37" i="40"/>
  <c r="Y11" i="43"/>
  <c r="Y13" i="43" s="1"/>
  <c r="AC11" i="43"/>
  <c r="AG11" i="43"/>
  <c r="Z7" i="43"/>
  <c r="AB11" i="43"/>
  <c r="AB13" i="43" s="1"/>
  <c r="AF11" i="43"/>
  <c r="AF13" i="43" s="1"/>
  <c r="AJ11" i="43"/>
  <c r="AJ13" i="43" s="1"/>
  <c r="G22" i="43"/>
  <c r="I101" i="43"/>
  <c r="D101" i="43"/>
  <c r="L101" i="43"/>
  <c r="AA36" i="21"/>
  <c r="AA10" i="33"/>
  <c r="U9" i="33"/>
  <c r="W43" i="33"/>
  <c r="S10" i="34"/>
  <c r="S23" i="34"/>
  <c r="AA29" i="34"/>
  <c r="U28" i="34"/>
  <c r="W34" i="34"/>
  <c r="U39" i="34"/>
  <c r="U44" i="34"/>
  <c r="S27" i="34"/>
  <c r="AA13" i="37"/>
  <c r="U23" i="37"/>
  <c r="AB17" i="37"/>
  <c r="AC15" i="37"/>
  <c r="S36" i="37"/>
  <c r="AB31" i="37"/>
  <c r="W27" i="37"/>
  <c r="U29" i="35"/>
  <c r="AA22" i="36"/>
  <c r="S33" i="36"/>
  <c r="W27" i="34"/>
  <c r="U20" i="36"/>
  <c r="AB20" i="36"/>
  <c r="AA12" i="40"/>
  <c r="U10" i="21"/>
  <c r="H52" i="43"/>
  <c r="H50" i="43"/>
  <c r="H48" i="43"/>
  <c r="AZ387" i="3"/>
  <c r="AZ310" i="3"/>
  <c r="AZ351" i="3"/>
  <c r="AZ378" i="3"/>
  <c r="W15" i="39"/>
  <c r="AC15" i="39"/>
  <c r="AB33" i="40"/>
  <c r="AA25" i="21"/>
  <c r="U11" i="33"/>
  <c r="U14" i="40"/>
  <c r="AA41" i="34"/>
  <c r="AA14" i="36"/>
  <c r="S14" i="36"/>
  <c r="AZ557" i="3"/>
  <c r="AZ581" i="3"/>
  <c r="AZ568" i="3"/>
  <c r="AZ576" i="3"/>
  <c r="BL494" i="3"/>
  <c r="AZ494" i="3" s="1"/>
  <c r="AB11" i="21"/>
  <c r="AA14" i="37"/>
  <c r="AC10" i="36"/>
  <c r="W10" i="36"/>
  <c r="F13" i="40"/>
  <c r="AC35" i="40"/>
  <c r="W35" i="40"/>
  <c r="AB12" i="40"/>
  <c r="U12" i="40"/>
  <c r="S25" i="36"/>
  <c r="AA25" i="36"/>
  <c r="AB35" i="35"/>
  <c r="U35" i="35"/>
  <c r="U13" i="35"/>
  <c r="AB13" i="35"/>
  <c r="S13" i="35"/>
  <c r="AA13" i="35"/>
  <c r="S47" i="34"/>
  <c r="AA47" i="34"/>
  <c r="AB30" i="33"/>
  <c r="U30" i="33"/>
  <c r="W12" i="40"/>
  <c r="J13" i="21"/>
  <c r="AA28" i="40"/>
  <c r="S28" i="40"/>
  <c r="S15" i="34"/>
  <c r="W17" i="34"/>
  <c r="AC17" i="34"/>
  <c r="S8" i="33"/>
  <c r="W28" i="34"/>
  <c r="AC28" i="34"/>
  <c r="AA28" i="34"/>
  <c r="S28" i="34"/>
  <c r="AB33" i="35"/>
  <c r="U33" i="35"/>
  <c r="W34" i="36"/>
  <c r="AC34" i="36"/>
  <c r="W15" i="40"/>
  <c r="AC15" i="40"/>
  <c r="AB32" i="33"/>
  <c r="U32" i="33"/>
  <c r="AC27" i="39"/>
  <c r="W27" i="39"/>
  <c r="AA31" i="39"/>
  <c r="S31" i="39"/>
  <c r="AC36" i="39"/>
  <c r="W36" i="39"/>
  <c r="W45" i="39"/>
  <c r="AC45" i="39"/>
  <c r="BL587" i="3"/>
  <c r="BA587" i="3"/>
  <c r="AB34" i="35"/>
  <c r="U34" i="35"/>
  <c r="H40" i="37"/>
  <c r="J40" i="37"/>
  <c r="F40" i="37"/>
  <c r="U25" i="37"/>
  <c r="AB25" i="37"/>
  <c r="S39" i="34"/>
  <c r="AA39" i="34"/>
  <c r="AA30" i="40"/>
  <c r="S30" i="40"/>
  <c r="U15" i="39"/>
  <c r="AB15" i="39"/>
  <c r="W36" i="40"/>
  <c r="AC36" i="40"/>
  <c r="S32" i="40"/>
  <c r="AA32" i="40"/>
  <c r="AC14" i="36"/>
  <c r="W14" i="36"/>
  <c r="U30" i="21"/>
  <c r="AB30" i="21"/>
  <c r="AA41" i="33"/>
  <c r="S41" i="33"/>
  <c r="AB26" i="21"/>
  <c r="U26" i="21"/>
  <c r="BA585" i="3"/>
  <c r="AZ585" i="3" s="1"/>
  <c r="B113" i="43"/>
  <c r="F22" i="43"/>
  <c r="E22" i="43"/>
  <c r="D22" i="43" s="1"/>
  <c r="AC33" i="33"/>
  <c r="W33" i="33"/>
  <c r="AA34" i="34"/>
  <c r="S34" i="34"/>
  <c r="J37" i="39"/>
  <c r="H37" i="39"/>
  <c r="AB9" i="40"/>
  <c r="U9" i="40"/>
  <c r="AB38" i="40"/>
  <c r="U38" i="40"/>
  <c r="U41" i="21"/>
  <c r="AB41" i="21"/>
  <c r="AZ551" i="3"/>
  <c r="BA540" i="3"/>
  <c r="AZ540" i="3" s="1"/>
  <c r="BA538" i="3"/>
  <c r="AZ538" i="3" s="1"/>
  <c r="BL536" i="3"/>
  <c r="BA536" i="3"/>
  <c r="BL534" i="3"/>
  <c r="BA534" i="3"/>
  <c r="BL532" i="3"/>
  <c r="BA532" i="3"/>
  <c r="BA530" i="3"/>
  <c r="AZ530" i="3" s="1"/>
  <c r="BL528" i="3"/>
  <c r="AZ528" i="3" s="1"/>
  <c r="BL526" i="3"/>
  <c r="AZ526" i="3" s="1"/>
  <c r="BL524" i="3"/>
  <c r="BL520" i="3"/>
  <c r="BA520" i="3"/>
  <c r="BL516" i="3"/>
  <c r="AZ516" i="3" s="1"/>
  <c r="BL514" i="3"/>
  <c r="BA512" i="3"/>
  <c r="AZ512" i="3" s="1"/>
  <c r="BA510" i="3"/>
  <c r="AZ510" i="3" s="1"/>
  <c r="BL507" i="3"/>
  <c r="AZ507" i="3" s="1"/>
  <c r="BA505" i="3"/>
  <c r="AZ505" i="3" s="1"/>
  <c r="BL503" i="3"/>
  <c r="AZ503" i="3" s="1"/>
  <c r="BA501" i="3"/>
  <c r="AZ501" i="3" s="1"/>
  <c r="BA497" i="3"/>
  <c r="AZ497" i="3" s="1"/>
  <c r="BF5" i="3"/>
  <c r="BN5" i="3"/>
  <c r="G29" i="6" s="1"/>
  <c r="E29" i="6" s="1"/>
  <c r="BK5" i="3"/>
  <c r="BG5" i="3"/>
  <c r="BA493" i="3"/>
  <c r="AZ493" i="3" s="1"/>
  <c r="BC5" i="3"/>
  <c r="E12" i="6" s="1"/>
  <c r="C28" i="15"/>
  <c r="J12" i="36"/>
  <c r="H12" i="36"/>
  <c r="J24" i="36"/>
  <c r="H24" i="36"/>
  <c r="G551" i="3"/>
  <c r="BL548" i="3"/>
  <c r="AZ548" i="3" s="1"/>
  <c r="AZ399" i="3"/>
  <c r="AZ404" i="3"/>
  <c r="AZ409" i="3"/>
  <c r="AZ411"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BL15" i="3"/>
  <c r="D108" i="43"/>
  <c r="D100" i="43"/>
  <c r="D25" i="71"/>
  <c r="T25" i="71"/>
  <c r="C20" i="71"/>
  <c r="D19" i="71"/>
  <c r="AB16" i="71"/>
  <c r="AB11" i="71"/>
  <c r="AB20" i="71"/>
  <c r="AB17" i="71"/>
  <c r="Y23" i="71"/>
  <c r="Z23" i="71" s="1"/>
  <c r="Y20" i="71"/>
  <c r="Z20" i="71" s="1"/>
  <c r="Y22" i="71"/>
  <c r="Z22" i="71" s="1"/>
  <c r="AA24" i="71"/>
  <c r="AA22" i="71"/>
  <c r="AA14" i="71"/>
  <c r="AA19" i="71"/>
  <c r="AA13" i="71"/>
  <c r="V9" i="71"/>
  <c r="E8" i="71"/>
  <c r="E7" i="71" s="1"/>
  <c r="X8" i="71"/>
  <c r="B9" i="71"/>
  <c r="X9" i="71"/>
  <c r="AA6" i="71"/>
  <c r="AA7" i="71"/>
  <c r="AA3" i="71"/>
  <c r="AB6" i="71"/>
  <c r="AB5" i="71"/>
  <c r="K8" i="1"/>
  <c r="M8" i="1" s="1"/>
  <c r="BL113" i="3"/>
  <c r="G114" i="3"/>
  <c r="BL115" i="3"/>
  <c r="G119" i="3"/>
  <c r="G120" i="3"/>
  <c r="BL121" i="3"/>
  <c r="G122" i="3"/>
  <c r="BL123" i="3"/>
  <c r="G124" i="3"/>
  <c r="G127" i="3"/>
  <c r="G128" i="3"/>
  <c r="BL129" i="3"/>
  <c r="G130" i="3"/>
  <c r="BL131" i="3"/>
  <c r="AZ131" i="3" s="1"/>
  <c r="AZ153" i="3"/>
  <c r="AZ185" i="3"/>
  <c r="AZ207" i="3"/>
  <c r="F3" i="35"/>
  <c r="M108" i="43"/>
  <c r="M100" i="43"/>
  <c r="I108" i="43"/>
  <c r="I100" i="43"/>
  <c r="E108" i="43"/>
  <c r="E100" i="43"/>
  <c r="S21" i="33"/>
  <c r="AA21" i="33"/>
  <c r="AA18" i="36"/>
  <c r="S18" i="36"/>
  <c r="T49" i="71"/>
  <c r="AA11" i="71"/>
  <c r="C11" i="71"/>
  <c r="D11" i="71" s="1"/>
  <c r="D12" i="71"/>
  <c r="Y13" i="71"/>
  <c r="Z13" i="71" s="1"/>
  <c r="T13" i="71"/>
  <c r="D13" i="71"/>
  <c r="U13" i="71" s="1"/>
  <c r="AA23" i="71"/>
  <c r="AB18" i="71"/>
  <c r="Y15" i="71"/>
  <c r="Z15" i="71" s="1"/>
  <c r="Y10" i="71"/>
  <c r="Z10" i="71" s="1"/>
  <c r="Y12" i="71"/>
  <c r="Z12" i="71" s="1"/>
  <c r="AB15" i="71"/>
  <c r="X14" i="71"/>
  <c r="X15" i="71"/>
  <c r="Y19" i="71"/>
  <c r="Z19" i="71" s="1"/>
  <c r="Y16" i="71"/>
  <c r="Z16" i="71" s="1"/>
  <c r="Y18" i="71"/>
  <c r="Z18" i="71" s="1"/>
  <c r="AB19" i="71"/>
  <c r="X18" i="71"/>
  <c r="X19" i="71"/>
  <c r="X20" i="71"/>
  <c r="X17" i="71"/>
  <c r="C41" i="71"/>
  <c r="D40" i="71"/>
  <c r="AC12" i="43"/>
  <c r="AC10" i="43"/>
  <c r="AE12" i="43"/>
  <c r="AE13" i="43" s="1"/>
  <c r="AE10" i="43"/>
  <c r="AG12" i="43"/>
  <c r="AG10" i="43"/>
  <c r="AI12" i="43"/>
  <c r="AI13" i="43" s="1"/>
  <c r="AI10" i="43"/>
  <c r="M56" i="9"/>
  <c r="K56" i="9"/>
  <c r="X10" i="71"/>
  <c r="X11" i="71"/>
  <c r="AA10" i="71"/>
  <c r="P61" i="67"/>
  <c r="P74" i="67"/>
  <c r="AA9" i="71"/>
  <c r="Y7" i="71"/>
  <c r="Z7" i="71" s="1"/>
  <c r="Y8" i="71"/>
  <c r="Z8" i="71" s="1"/>
  <c r="Y6" i="71"/>
  <c r="Z6" i="71" s="1"/>
  <c r="Y3" i="71"/>
  <c r="Z3" i="71" s="1"/>
  <c r="AB7" i="71"/>
  <c r="AB8" i="71"/>
  <c r="X7" i="7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BL37" i="3"/>
  <c r="G38" i="3"/>
  <c r="BL39" i="3"/>
  <c r="G40" i="3"/>
  <c r="BL41" i="3"/>
  <c r="G42" i="3"/>
  <c r="BL43" i="3"/>
  <c r="G44" i="3"/>
  <c r="BL45" i="3"/>
  <c r="G46" i="3"/>
  <c r="BL47" i="3"/>
  <c r="G48" i="3"/>
  <c r="BL49" i="3"/>
  <c r="G50" i="3"/>
  <c r="BL51" i="3"/>
  <c r="G52" i="3"/>
  <c r="BL53" i="3"/>
  <c r="G54" i="3"/>
  <c r="BL55" i="3"/>
  <c r="G56" i="3"/>
  <c r="BL57" i="3"/>
  <c r="G58" i="3"/>
  <c r="BL59" i="3"/>
  <c r="G60" i="3"/>
  <c r="BL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AB10" i="71"/>
  <c r="AB12" i="71"/>
  <c r="B12" i="71"/>
  <c r="B11" i="71" s="1"/>
  <c r="S13" i="71"/>
  <c r="C16" i="71"/>
  <c r="E25" i="71"/>
  <c r="U25" i="71" s="1"/>
  <c r="B21" i="71"/>
  <c r="S21" i="71" s="1"/>
  <c r="B17" i="71"/>
  <c r="S17" i="71" s="1"/>
  <c r="X12" i="71"/>
  <c r="Y14" i="71"/>
  <c r="Z14" i="71" s="1"/>
  <c r="AB14" i="71"/>
  <c r="F15" i="71"/>
  <c r="F16" i="71" s="1"/>
  <c r="F17" i="71" s="1"/>
  <c r="V17" i="71" s="1"/>
  <c r="AA15" i="71"/>
  <c r="AA16" i="71"/>
  <c r="AA12" i="71"/>
  <c r="Y17" i="71"/>
  <c r="Z17" i="71" s="1"/>
  <c r="AA18" i="71"/>
  <c r="AA17" i="71"/>
  <c r="Y21" i="71"/>
  <c r="Z21" i="71" s="1"/>
  <c r="C44" i="71"/>
  <c r="B48" i="71"/>
  <c r="B49" i="71" s="1"/>
  <c r="S49" i="71" s="1"/>
  <c r="F51" i="71"/>
  <c r="Q52" i="71"/>
  <c r="D69" i="71"/>
  <c r="C68" i="71"/>
  <c r="L1" i="73"/>
  <c r="J1" i="73"/>
  <c r="AB9" i="71"/>
  <c r="S53" i="71"/>
  <c r="B52" i="71"/>
  <c r="Z12" i="43"/>
  <c r="Z13" i="43" s="1"/>
  <c r="Z10" i="43"/>
  <c r="AD12" i="43"/>
  <c r="AD13" i="43" s="1"/>
  <c r="AD10" i="43"/>
  <c r="AH12" i="43"/>
  <c r="AH13" i="43" s="1"/>
  <c r="AH10" i="43"/>
  <c r="F8" i="71"/>
  <c r="F7" i="71" s="1"/>
  <c r="F6" i="71" s="1"/>
  <c r="F5" i="71" s="1"/>
  <c r="C9" i="71"/>
  <c r="Y9" i="71"/>
  <c r="Z9" i="71" s="1"/>
  <c r="AA8" i="71"/>
  <c r="X6" i="71"/>
  <c r="X5" i="71"/>
  <c r="AA5" i="71"/>
  <c r="E106" i="43"/>
  <c r="D65" i="40"/>
  <c r="E63" i="40"/>
  <c r="C31" i="12"/>
  <c r="J51" i="15"/>
  <c r="H104" i="43"/>
  <c r="M102" i="43"/>
  <c r="P61" i="15"/>
  <c r="J53" i="15"/>
  <c r="F1" i="15" s="1"/>
  <c r="E109" i="43"/>
  <c r="H102" i="43"/>
  <c r="M106" i="43"/>
  <c r="E103" i="43"/>
  <c r="E102" i="43"/>
  <c r="B4" i="62"/>
  <c r="B71" i="72" s="1"/>
  <c r="C5" i="43"/>
  <c r="C94" i="9"/>
  <c r="C92" i="9"/>
  <c r="C30" i="69"/>
  <c r="C48" i="68"/>
  <c r="C36" i="68"/>
  <c r="C36" i="11"/>
  <c r="C30" i="11"/>
  <c r="C77" i="9"/>
  <c r="C74" i="9" s="1"/>
  <c r="C40" i="68"/>
  <c r="C40" i="69"/>
  <c r="H16" i="1"/>
  <c r="H103" i="43"/>
  <c r="M105" i="43"/>
  <c r="M107" i="43"/>
  <c r="M104" i="43"/>
  <c r="E105" i="43"/>
  <c r="E107" i="43"/>
  <c r="K15" i="1"/>
  <c r="P7" i="1"/>
  <c r="AZ123" i="3"/>
  <c r="BA113" i="3"/>
  <c r="AZ113" i="3" s="1"/>
  <c r="BA114" i="3"/>
  <c r="AZ114" i="3" s="1"/>
  <c r="BA121" i="3"/>
  <c r="BA122" i="3"/>
  <c r="AZ122" i="3" s="1"/>
  <c r="BA124" i="3"/>
  <c r="AZ124" i="3" s="1"/>
  <c r="BA129" i="3"/>
  <c r="AZ129" i="3" s="1"/>
  <c r="BA130" i="3"/>
  <c r="AZ130" i="3" s="1"/>
  <c r="BA36" i="3"/>
  <c r="AZ36" i="3" s="1"/>
  <c r="BA37" i="3"/>
  <c r="BA38" i="3"/>
  <c r="AZ38" i="3" s="1"/>
  <c r="BA39" i="3"/>
  <c r="BA40" i="3"/>
  <c r="AZ40" i="3" s="1"/>
  <c r="BA41" i="3"/>
  <c r="BA42" i="3"/>
  <c r="AZ42" i="3" s="1"/>
  <c r="BA43" i="3"/>
  <c r="BA44" i="3"/>
  <c r="AZ44" i="3" s="1"/>
  <c r="BA45" i="3"/>
  <c r="BA46" i="3"/>
  <c r="AZ46" i="3" s="1"/>
  <c r="BA47" i="3"/>
  <c r="BA48" i="3"/>
  <c r="AZ48" i="3" s="1"/>
  <c r="BA49" i="3"/>
  <c r="BA50" i="3"/>
  <c r="AZ50" i="3" s="1"/>
  <c r="BA51" i="3"/>
  <c r="BA52" i="3"/>
  <c r="AZ52" i="3" s="1"/>
  <c r="BA53" i="3"/>
  <c r="BA54" i="3"/>
  <c r="AZ54" i="3" s="1"/>
  <c r="BA55" i="3"/>
  <c r="BA56" i="3"/>
  <c r="AZ56" i="3" s="1"/>
  <c r="BA57" i="3"/>
  <c r="BA58" i="3"/>
  <c r="AZ58" i="3" s="1"/>
  <c r="BA59" i="3"/>
  <c r="BA60" i="3"/>
  <c r="AZ60" i="3" s="1"/>
  <c r="BA61" i="3"/>
  <c r="AZ15" i="3"/>
  <c r="AZ115" i="3"/>
  <c r="AZ120" i="3"/>
  <c r="AZ125" i="3"/>
  <c r="AZ27" i="3"/>
  <c r="AZ34" i="3"/>
  <c r="E8" i="6"/>
  <c r="H109" i="43"/>
  <c r="H105" i="43"/>
  <c r="H106" i="43"/>
  <c r="C101" i="43"/>
  <c r="N101" i="43"/>
  <c r="K101" i="43"/>
  <c r="AR9" i="1"/>
  <c r="T9" i="1"/>
  <c r="AZ14" i="3"/>
  <c r="BA5" i="3"/>
  <c r="D116" i="43"/>
  <c r="E116" i="43" s="1"/>
  <c r="F116" i="43" s="1"/>
  <c r="G116" i="43" s="1"/>
  <c r="H116" i="43" s="1"/>
  <c r="G118" i="43"/>
  <c r="H118" i="43" s="1"/>
  <c r="B117" i="43"/>
  <c r="C117" i="43" s="1"/>
  <c r="J101" i="43"/>
  <c r="G101" i="43"/>
  <c r="H5" i="3"/>
  <c r="AQ7" i="1"/>
  <c r="AR7" i="1"/>
  <c r="O11" i="1"/>
  <c r="P11" i="1" s="1"/>
  <c r="D9" i="11"/>
  <c r="C9" i="11" s="1"/>
  <c r="D19" i="12"/>
  <c r="C19" i="12" s="1"/>
  <c r="O8" i="1"/>
  <c r="P8" i="1" s="1"/>
  <c r="AQ11" i="1"/>
  <c r="T11" i="1"/>
  <c r="AR11" i="1"/>
  <c r="P12" i="1"/>
  <c r="O9" i="1"/>
  <c r="P9" i="1" s="1"/>
  <c r="G16" i="1"/>
  <c r="J10" i="39" s="1"/>
  <c r="I14" i="74"/>
  <c r="B8" i="74" s="1"/>
  <c r="D127" i="9"/>
  <c r="D13" i="52" s="1"/>
  <c r="D12" i="52"/>
  <c r="D10" i="52"/>
  <c r="D125" i="9"/>
  <c r="D11" i="52" s="1"/>
  <c r="H14" i="74"/>
  <c r="B7" i="74" s="1"/>
  <c r="D17" i="53"/>
  <c r="B36" i="72" s="1"/>
  <c r="R49" i="33"/>
  <c r="E48" i="33"/>
  <c r="AC7" i="33"/>
  <c r="V48" i="33" s="1"/>
  <c r="I48" i="33" s="1"/>
  <c r="AB7" i="33"/>
  <c r="T48" i="33" s="1"/>
  <c r="G48" i="33" s="1"/>
  <c r="F59" i="34"/>
  <c r="F52" i="37"/>
  <c r="E46" i="36"/>
  <c r="D58" i="21"/>
  <c r="G48" i="35"/>
  <c r="C70" i="39"/>
  <c r="D68" i="39"/>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I54" i="15"/>
  <c r="L56" i="15"/>
  <c r="F66" i="15"/>
  <c r="B10" i="70"/>
  <c r="F68" i="67"/>
  <c r="N59" i="15"/>
  <c r="L59" i="15"/>
  <c r="M59" i="15"/>
  <c r="L58" i="15"/>
  <c r="F65" i="15"/>
  <c r="B13" i="70"/>
  <c r="B8" i="70"/>
  <c r="C34" i="67"/>
  <c r="F63" i="67"/>
  <c r="C62" i="67" s="1"/>
  <c r="B20" i="31"/>
  <c r="B7" i="70"/>
  <c r="J20" i="67"/>
  <c r="F71" i="15"/>
  <c r="F65" i="67"/>
  <c r="Q71" i="15"/>
  <c r="F51" i="67"/>
  <c r="B11" i="70"/>
  <c r="F51" i="15"/>
  <c r="B12" i="70"/>
  <c r="B9" i="70"/>
  <c r="F31" i="15"/>
  <c r="F59" i="15"/>
  <c r="M17" i="67"/>
  <c r="M17" i="15"/>
  <c r="F59" i="67"/>
  <c r="F31" i="67"/>
  <c r="F16" i="15"/>
  <c r="F26" i="67"/>
  <c r="F38" i="67"/>
  <c r="M29" i="15"/>
  <c r="F41" i="67"/>
  <c r="F36" i="15"/>
  <c r="L48" i="67"/>
  <c r="F36" i="67"/>
  <c r="F7" i="15"/>
  <c r="M9" i="67"/>
  <c r="M23" i="67"/>
  <c r="F7" i="67"/>
  <c r="M26" i="15"/>
  <c r="AE6" i="1"/>
  <c r="F26" i="15"/>
  <c r="M6" i="15"/>
  <c r="M24" i="15"/>
  <c r="M23" i="15"/>
  <c r="M27" i="67"/>
  <c r="F43" i="67"/>
  <c r="F40" i="15"/>
  <c r="F42" i="15"/>
  <c r="C76" i="67"/>
  <c r="F9" i="67"/>
  <c r="M9" i="15"/>
  <c r="M28" i="67"/>
  <c r="L47" i="67"/>
  <c r="L59" i="67" l="1"/>
  <c r="Q74" i="67" s="1"/>
  <c r="N59" i="67"/>
  <c r="M59" i="67"/>
  <c r="L58" i="67"/>
  <c r="Q73" i="67" s="1"/>
  <c r="Q71" i="67"/>
  <c r="F68" i="15"/>
  <c r="F71" i="67"/>
  <c r="C27" i="15"/>
  <c r="M7" i="67"/>
  <c r="J6" i="67" s="1"/>
  <c r="F50" i="67"/>
  <c r="C49" i="67" s="1"/>
  <c r="C6" i="67"/>
  <c r="M7" i="15"/>
  <c r="J6" i="15" s="1"/>
  <c r="C6" i="15"/>
  <c r="F50" i="15"/>
  <c r="C49" i="15" s="1"/>
  <c r="F64" i="67"/>
  <c r="J57" i="67"/>
  <c r="J55" i="67" s="1"/>
  <c r="J58" i="67" s="1"/>
  <c r="Q50" i="67" s="1"/>
  <c r="I54" i="67"/>
  <c r="L56" i="67"/>
  <c r="F64" i="15"/>
  <c r="F69" i="67"/>
  <c r="F66" i="67"/>
  <c r="C27" i="67"/>
  <c r="C67" i="71"/>
  <c r="D67" i="71" s="1"/>
  <c r="D68" i="71"/>
  <c r="C17" i="71"/>
  <c r="D16" i="71"/>
  <c r="D41" i="71"/>
  <c r="T41" i="71"/>
  <c r="C21" i="71"/>
  <c r="D20" i="71"/>
  <c r="W24" i="36"/>
  <c r="AC24" i="36"/>
  <c r="AC12" i="36"/>
  <c r="W12" i="36"/>
  <c r="AB37" i="39"/>
  <c r="U37" i="39"/>
  <c r="D117" i="43"/>
  <c r="E117" i="43" s="1"/>
  <c r="F117" i="43" s="1"/>
  <c r="G117" i="43" s="1"/>
  <c r="H117" i="43" s="1"/>
  <c r="B116" i="43"/>
  <c r="C116"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AA40" i="37"/>
  <c r="S40" i="37"/>
  <c r="AB40" i="37"/>
  <c r="U40" i="37"/>
  <c r="L109" i="43"/>
  <c r="L106" i="43"/>
  <c r="L107" i="43"/>
  <c r="L103" i="43"/>
  <c r="L102" i="43"/>
  <c r="L105" i="43"/>
  <c r="L104" i="43"/>
  <c r="I109" i="43"/>
  <c r="I104" i="43"/>
  <c r="I107" i="43"/>
  <c r="I105" i="43"/>
  <c r="I102" i="43"/>
  <c r="I106" i="43"/>
  <c r="I103" i="43"/>
  <c r="AG13" i="43"/>
  <c r="AA13" i="21"/>
  <c r="S13" i="21"/>
  <c r="S12" i="37"/>
  <c r="AA12" i="37"/>
  <c r="AC12" i="37"/>
  <c r="W12" i="37"/>
  <c r="U11" i="36"/>
  <c r="AB11" i="36"/>
  <c r="S23" i="35"/>
  <c r="AA23" i="35"/>
  <c r="U23" i="35"/>
  <c r="AB23" i="35"/>
  <c r="D115" i="43"/>
  <c r="E115" i="43" s="1"/>
  <c r="F115" i="43" s="1"/>
  <c r="G115" i="43" s="1"/>
  <c r="H115" i="43" s="1"/>
  <c r="B118" i="43"/>
  <c r="C118" i="43" s="1"/>
  <c r="D118" i="43"/>
  <c r="E118" i="43" s="1"/>
  <c r="F118" i="43" s="1"/>
  <c r="B115" i="43"/>
  <c r="AZ61" i="3"/>
  <c r="AZ59" i="3"/>
  <c r="AZ57" i="3"/>
  <c r="AZ55" i="3"/>
  <c r="AZ53" i="3"/>
  <c r="AZ51" i="3"/>
  <c r="AZ49" i="3"/>
  <c r="AZ47" i="3"/>
  <c r="AZ45" i="3"/>
  <c r="AZ43" i="3"/>
  <c r="AZ41" i="3"/>
  <c r="AZ39" i="3"/>
  <c r="AZ5" i="3" s="1"/>
  <c r="AZ37" i="3"/>
  <c r="AZ121" i="3"/>
  <c r="C8" i="71"/>
  <c r="T9" i="71"/>
  <c r="D9" i="71"/>
  <c r="U9" i="71" s="1"/>
  <c r="N52" i="71"/>
  <c r="B51" i="71"/>
  <c r="Q51" i="71"/>
  <c r="Q50" i="71"/>
  <c r="C45" i="71"/>
  <c r="D44" i="71"/>
  <c r="G5" i="3"/>
  <c r="B3" i="3" s="1"/>
  <c r="E109" i="3" s="1"/>
  <c r="E130" i="3"/>
  <c r="E120" i="3"/>
  <c r="B8" i="71"/>
  <c r="B7" i="71" s="1"/>
  <c r="B6" i="71" s="1"/>
  <c r="B5" i="71" s="1"/>
  <c r="S9" i="71"/>
  <c r="BL5" i="3"/>
  <c r="AB24" i="36"/>
  <c r="U24" i="36"/>
  <c r="AB12" i="36"/>
  <c r="U12" i="36"/>
  <c r="AZ520" i="3"/>
  <c r="AZ532" i="3"/>
  <c r="AZ534" i="3"/>
  <c r="AZ536" i="3"/>
  <c r="AC37" i="39"/>
  <c r="W37" i="39"/>
  <c r="AC40" i="37"/>
  <c r="W40" i="37"/>
  <c r="AZ587" i="3"/>
  <c r="AC13" i="21"/>
  <c r="W13" i="21"/>
  <c r="AA13" i="40"/>
  <c r="S13" i="40"/>
  <c r="D109" i="43"/>
  <c r="D105" i="43"/>
  <c r="D106" i="43"/>
  <c r="D102" i="43"/>
  <c r="D103" i="43"/>
  <c r="D104" i="43"/>
  <c r="D107" i="43"/>
  <c r="AC13" i="43"/>
  <c r="Q16" i="1"/>
  <c r="E15" i="6"/>
  <c r="E13" i="6"/>
  <c r="E10" i="6"/>
  <c r="E14" i="6"/>
  <c r="E11" i="6"/>
  <c r="AZ496" i="3"/>
  <c r="AZ498" i="3"/>
  <c r="AZ508" i="3"/>
  <c r="AB12" i="37"/>
  <c r="U12" i="37"/>
  <c r="AA11" i="36"/>
  <c r="S11" i="36"/>
  <c r="W11" i="36"/>
  <c r="AC11" i="36"/>
  <c r="AC23" i="35"/>
  <c r="W23" i="35"/>
  <c r="F63" i="40"/>
  <c r="E65" i="40"/>
  <c r="Q52" i="15"/>
  <c r="E16" i="6"/>
  <c r="G30" i="6"/>
  <c r="G31" i="6" s="1"/>
  <c r="E28" i="6"/>
  <c r="E57" i="40"/>
  <c r="E62" i="39"/>
  <c r="F27" i="6"/>
  <c r="F31" i="6" s="1"/>
  <c r="E51" i="40"/>
  <c r="E56" i="39"/>
  <c r="N102" i="43"/>
  <c r="N103" i="43"/>
  <c r="N106" i="43"/>
  <c r="N104" i="43"/>
  <c r="N105" i="43"/>
  <c r="N107" i="43"/>
  <c r="N109" i="43"/>
  <c r="F10" i="40"/>
  <c r="AA10" i="40" s="1"/>
  <c r="K103" i="43"/>
  <c r="K102" i="43"/>
  <c r="K106" i="43"/>
  <c r="K109" i="43"/>
  <c r="K107" i="43"/>
  <c r="K104" i="43"/>
  <c r="K105" i="43"/>
  <c r="C104" i="43"/>
  <c r="C107" i="43"/>
  <c r="C103" i="43"/>
  <c r="C102" i="43"/>
  <c r="C109" i="43"/>
  <c r="C106" i="43"/>
  <c r="C105" i="43"/>
  <c r="G105" i="43"/>
  <c r="G107" i="43"/>
  <c r="G104" i="43"/>
  <c r="G106" i="43"/>
  <c r="G103" i="43"/>
  <c r="G109" i="43"/>
  <c r="G102" i="43"/>
  <c r="J104" i="43"/>
  <c r="J105" i="43"/>
  <c r="J107" i="43"/>
  <c r="J102" i="43"/>
  <c r="J109" i="43"/>
  <c r="J103" i="43"/>
  <c r="J106" i="43"/>
  <c r="C115" i="43"/>
  <c r="D113" i="43" s="1"/>
  <c r="H10" i="40"/>
  <c r="F10" i="39"/>
  <c r="H10" i="39"/>
  <c r="J10" i="40"/>
  <c r="E58" i="21"/>
  <c r="F46" i="36"/>
  <c r="G52" i="37"/>
  <c r="G59" i="34"/>
  <c r="G52" i="33"/>
  <c r="H52" i="33" s="1"/>
  <c r="G53" i="33"/>
  <c r="H53" i="33" s="1"/>
  <c r="E53" i="33"/>
  <c r="F53" i="33" s="1"/>
  <c r="E52" i="33"/>
  <c r="F52" i="33" s="1"/>
  <c r="W10" i="39"/>
  <c r="AC10" i="39"/>
  <c r="E68" i="39"/>
  <c r="D70" i="39"/>
  <c r="H48" i="35"/>
  <c r="I52" i="33"/>
  <c r="J52" i="33" s="1"/>
  <c r="I53" i="33"/>
  <c r="J53" i="33" s="1"/>
  <c r="C48" i="33"/>
  <c r="C49" i="33"/>
  <c r="P25" i="43"/>
  <c r="Q60" i="15"/>
  <c r="Q73" i="15"/>
  <c r="Q74" i="15"/>
  <c r="Q61" i="15"/>
  <c r="Q61" i="67"/>
  <c r="C14" i="67"/>
  <c r="C16" i="67"/>
  <c r="D6" i="73"/>
  <c r="D4" i="73"/>
  <c r="F6" i="73"/>
  <c r="F7" i="73"/>
  <c r="F5" i="73"/>
  <c r="F41" i="15"/>
  <c r="C17" i="67"/>
  <c r="C16" i="15"/>
  <c r="D7" i="73"/>
  <c r="D5" i="73"/>
  <c r="D3" i="73"/>
  <c r="F4" i="73"/>
  <c r="F3" i="73"/>
  <c r="Q60" i="67" l="1"/>
  <c r="I1" i="73"/>
  <c r="B39" i="1" s="1"/>
  <c r="E20" i="43"/>
  <c r="K1" i="73"/>
  <c r="C15" i="67"/>
  <c r="C18" i="67"/>
  <c r="AY6" i="3"/>
  <c r="E3" i="6"/>
  <c r="E64" i="39"/>
  <c r="E59" i="40"/>
  <c r="E58" i="40"/>
  <c r="E63" i="39"/>
  <c r="F27" i="69"/>
  <c r="F27" i="11"/>
  <c r="F27" i="68"/>
  <c r="F28" i="12"/>
  <c r="C29" i="12" s="1"/>
  <c r="D28" i="12" s="1"/>
  <c r="E122" i="3"/>
  <c r="E31" i="3"/>
  <c r="E33" i="3"/>
  <c r="E40" i="3"/>
  <c r="E44" i="3"/>
  <c r="E48" i="3"/>
  <c r="E52" i="3"/>
  <c r="E56" i="3"/>
  <c r="E60" i="3"/>
  <c r="E64" i="3"/>
  <c r="E68" i="3"/>
  <c r="E72" i="3"/>
  <c r="E76" i="3"/>
  <c r="E80" i="3"/>
  <c r="E84" i="3"/>
  <c r="E88" i="3"/>
  <c r="E92" i="3"/>
  <c r="E96" i="3"/>
  <c r="E100" i="3"/>
  <c r="E104" i="3"/>
  <c r="E108" i="3"/>
  <c r="E112" i="3"/>
  <c r="D45" i="71"/>
  <c r="T45" i="71"/>
  <c r="N51" i="71"/>
  <c r="N50" i="71"/>
  <c r="C7" i="71"/>
  <c r="D8" i="71"/>
  <c r="E119" i="3"/>
  <c r="E32" i="3"/>
  <c r="E63" i="3"/>
  <c r="E67" i="3"/>
  <c r="E73" i="3"/>
  <c r="E77" i="3"/>
  <c r="E81" i="3"/>
  <c r="E85" i="3"/>
  <c r="E89" i="3"/>
  <c r="E93" i="3"/>
  <c r="E101" i="3"/>
  <c r="E105" i="3"/>
  <c r="E61" i="39"/>
  <c r="E56" i="40"/>
  <c r="E60" i="40"/>
  <c r="E65" i="39"/>
  <c r="E66" i="39" s="1"/>
  <c r="E53" i="3"/>
  <c r="E401" i="3"/>
  <c r="E146" i="3"/>
  <c r="E168" i="3"/>
  <c r="E203" i="3"/>
  <c r="E139" i="3"/>
  <c r="E202" i="3"/>
  <c r="E225" i="3"/>
  <c r="E242" i="3"/>
  <c r="E281" i="3"/>
  <c r="E226" i="3"/>
  <c r="E243" i="3"/>
  <c r="E351" i="3"/>
  <c r="E315" i="3"/>
  <c r="E357" i="3"/>
  <c r="E394" i="3"/>
  <c r="E356" i="3"/>
  <c r="E372" i="3"/>
  <c r="AL6" i="3"/>
  <c r="E580" i="3"/>
  <c r="E488" i="3"/>
  <c r="E428" i="3"/>
  <c r="E15" i="3"/>
  <c r="E455" i="3"/>
  <c r="E170" i="3"/>
  <c r="E174" i="3"/>
  <c r="E220" i="3"/>
  <c r="E275" i="3"/>
  <c r="E235" i="3"/>
  <c r="E324" i="3"/>
  <c r="E383" i="3"/>
  <c r="E342" i="3"/>
  <c r="E36" i="3"/>
  <c r="E123" i="3"/>
  <c r="E147" i="3"/>
  <c r="E289" i="3"/>
  <c r="E340" i="3"/>
  <c r="E364" i="3"/>
  <c r="E113" i="3"/>
  <c r="E218" i="3"/>
  <c r="E265" i="3"/>
  <c r="E365" i="3"/>
  <c r="E524" i="3"/>
  <c r="E175" i="3"/>
  <c r="E569" i="3"/>
  <c r="E247" i="3"/>
  <c r="E358" i="3"/>
  <c r="E559" i="3"/>
  <c r="E570" i="3"/>
  <c r="M6" i="3"/>
  <c r="V6" i="3"/>
  <c r="AB6" i="3"/>
  <c r="E407" i="3"/>
  <c r="E387" i="3"/>
  <c r="E320" i="3"/>
  <c r="E335" i="3"/>
  <c r="E294" i="3"/>
  <c r="E215" i="3"/>
  <c r="E230" i="3"/>
  <c r="E189" i="3"/>
  <c r="E134" i="3"/>
  <c r="E254" i="3"/>
  <c r="E221" i="3"/>
  <c r="E161" i="3"/>
  <c r="E180" i="3"/>
  <c r="E117" i="3"/>
  <c r="E149" i="3"/>
  <c r="E207" i="3"/>
  <c r="E252" i="3"/>
  <c r="E212" i="3"/>
  <c r="E271" i="3"/>
  <c r="E253" i="3"/>
  <c r="E204" i="3"/>
  <c r="E167" i="3"/>
  <c r="E145" i="3"/>
  <c r="E199" i="3"/>
  <c r="E164" i="3"/>
  <c r="E141" i="3"/>
  <c r="E286" i="3"/>
  <c r="E327" i="3"/>
  <c r="E312" i="3"/>
  <c r="E379"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1" i="3"/>
  <c r="E582" i="3"/>
  <c r="AS6" i="3"/>
  <c r="E413" i="3"/>
  <c r="E403" i="3"/>
  <c r="E435" i="3"/>
  <c r="E444" i="3"/>
  <c r="E460" i="3"/>
  <c r="E476" i="3"/>
  <c r="E491" i="3"/>
  <c r="E489" i="3"/>
  <c r="E546" i="3"/>
  <c r="E417" i="3"/>
  <c r="E404" i="3"/>
  <c r="E436" i="3"/>
  <c r="E447" i="3"/>
  <c r="E479" i="3"/>
  <c r="E28" i="3"/>
  <c r="E39" i="3"/>
  <c r="E27" i="3"/>
  <c r="E37" i="3"/>
  <c r="E57"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7" i="3"/>
  <c r="E378" i="3"/>
  <c r="E317" i="3"/>
  <c r="E349" i="3"/>
  <c r="E334" i="3"/>
  <c r="E384" i="3"/>
  <c r="E389" i="3"/>
  <c r="E572" i="3"/>
  <c r="AM6" i="3"/>
  <c r="E544" i="3"/>
  <c r="E30" i="3"/>
  <c r="E29" i="3"/>
  <c r="E59" i="3"/>
  <c r="E480" i="3"/>
  <c r="E441" i="3"/>
  <c r="E462" i="3"/>
  <c r="E484" i="3"/>
  <c r="E425" i="3"/>
  <c r="E446" i="3"/>
  <c r="E467" i="3"/>
  <c r="E47" i="3"/>
  <c r="E138" i="3"/>
  <c r="E160" i="3"/>
  <c r="E195" i="3"/>
  <c r="E142" i="3"/>
  <c r="E163" i="3"/>
  <c r="E200" i="3"/>
  <c r="E248" i="3"/>
  <c r="E267" i="3"/>
  <c r="E209" i="3"/>
  <c r="E249" i="3"/>
  <c r="E266" i="3"/>
  <c r="E300" i="3"/>
  <c r="E307" i="3"/>
  <c r="E371" i="3"/>
  <c r="E386" i="3"/>
  <c r="E310" i="3"/>
  <c r="E492" i="3"/>
  <c r="E584" i="3"/>
  <c r="E23" i="3"/>
  <c r="E24" i="3"/>
  <c r="E144" i="3"/>
  <c r="E184" i="3"/>
  <c r="E250" i="3"/>
  <c r="E233" i="3"/>
  <c r="E284" i="3"/>
  <c r="E355" i="3"/>
  <c r="E341" i="3"/>
  <c r="E381" i="3"/>
  <c r="Y6" i="3"/>
  <c r="E51" i="3"/>
  <c r="E19" i="3"/>
  <c r="E154" i="3"/>
  <c r="E118" i="3"/>
  <c r="E179" i="3"/>
  <c r="E264" i="3"/>
  <c r="E222" i="3"/>
  <c r="E283" i="3"/>
  <c r="E323" i="3"/>
  <c r="E309" i="3"/>
  <c r="E373" i="3"/>
  <c r="E21" i="3"/>
  <c r="E343" i="3"/>
  <c r="E516" i="3"/>
  <c r="E396" i="3"/>
  <c r="E229" i="3"/>
  <c r="E151" i="3"/>
  <c r="E311" i="3"/>
  <c r="E514" i="3"/>
  <c r="AR6" i="3"/>
  <c r="E523" i="3"/>
  <c r="E561" i="3"/>
  <c r="E506" i="3"/>
  <c r="E418" i="3"/>
  <c r="E439" i="3"/>
  <c r="E338" i="3"/>
  <c r="E380" i="3"/>
  <c r="E321" i="3"/>
  <c r="E231" i="3"/>
  <c r="E298" i="3"/>
  <c r="E216" i="3"/>
  <c r="E169" i="3"/>
  <c r="E185" i="3"/>
  <c r="E61" i="3"/>
  <c r="E135" i="3"/>
  <c r="E290" i="3"/>
  <c r="E181" i="3"/>
  <c r="E157" i="3"/>
  <c r="E140" i="3"/>
  <c r="E45" i="3"/>
  <c r="E223" i="3"/>
  <c r="E277" i="3"/>
  <c r="E238" i="3"/>
  <c r="E224" i="3"/>
  <c r="E197" i="3"/>
  <c r="E177" i="3"/>
  <c r="E116" i="3"/>
  <c r="E193" i="3"/>
  <c r="E173" i="3"/>
  <c r="E133" i="3"/>
  <c r="E313" i="3"/>
  <c r="E369" i="3"/>
  <c r="E330" i="3"/>
  <c r="E393" i="3"/>
  <c r="E519" i="3"/>
  <c r="E525" i="3"/>
  <c r="K6" i="3"/>
  <c r="E493" i="3"/>
  <c r="E532" i="3"/>
  <c r="E534" i="3"/>
  <c r="Q6" i="3"/>
  <c r="E564" i="3"/>
  <c r="E573" i="3"/>
  <c r="T6" i="3"/>
  <c r="E560" i="3"/>
  <c r="E543"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537" i="3"/>
  <c r="E494" i="3"/>
  <c r="E429" i="3"/>
  <c r="E419" i="3"/>
  <c r="E450" i="3"/>
  <c r="E452" i="3"/>
  <c r="E468" i="3"/>
  <c r="E483" i="3"/>
  <c r="E471" i="3"/>
  <c r="E470" i="3"/>
  <c r="E433" i="3"/>
  <c r="E420" i="3"/>
  <c r="E454" i="3"/>
  <c r="E463" i="3"/>
  <c r="E475" i="3"/>
  <c r="E26" i="3"/>
  <c r="E55" i="3"/>
  <c r="E25" i="3"/>
  <c r="E41" i="3"/>
  <c r="E115" i="3"/>
  <c r="E178" i="3"/>
  <c r="E198" i="3"/>
  <c r="E150" i="3"/>
  <c r="E171" i="3"/>
  <c r="E208" i="3"/>
  <c r="E256" i="3"/>
  <c r="E279" i="3"/>
  <c r="E214" i="3"/>
  <c r="E257" i="3"/>
  <c r="E274" i="3"/>
  <c r="E276" i="3"/>
  <c r="E332" i="3"/>
  <c r="E346" i="3"/>
  <c r="E391" i="3"/>
  <c r="E333" i="3"/>
  <c r="E318" i="3"/>
  <c r="E362" i="3"/>
  <c r="E14" i="3"/>
  <c r="L6" i="3"/>
  <c r="E43" i="3"/>
  <c r="E409" i="3"/>
  <c r="E473" i="3"/>
  <c r="E482" i="3"/>
  <c r="E412" i="3"/>
  <c r="E18" i="3"/>
  <c r="E129" i="3"/>
  <c r="E190" i="3"/>
  <c r="E137" i="3"/>
  <c r="E194" i="3"/>
  <c r="E234" i="3"/>
  <c r="E219" i="3"/>
  <c r="E299" i="3"/>
  <c r="E339" i="3"/>
  <c r="E325" i="3"/>
  <c r="E392" i="3"/>
  <c r="AQ6" i="3"/>
  <c r="E35" i="3"/>
  <c r="E49" i="3"/>
  <c r="E206" i="3"/>
  <c r="E232" i="3"/>
  <c r="E251" i="3"/>
  <c r="E370" i="3"/>
  <c r="AF6" i="3"/>
  <c r="E20" i="3"/>
  <c r="E176" i="3"/>
  <c r="E158" i="3"/>
  <c r="E287" i="3"/>
  <c r="E308" i="3"/>
  <c r="E326" i="3"/>
  <c r="E22" i="3"/>
  <c r="E375" i="3"/>
  <c r="E201" i="3"/>
  <c r="E505" i="3"/>
  <c r="E541" i="3"/>
  <c r="E527" i="3"/>
  <c r="E354" i="3"/>
  <c r="E557" i="3"/>
  <c r="E531" i="3"/>
  <c r="E522" i="3"/>
  <c r="E515" i="3"/>
  <c r="E513" i="3"/>
  <c r="E499" i="3"/>
  <c r="E496" i="3"/>
  <c r="E228" i="3"/>
  <c r="E188" i="3"/>
  <c r="E191" i="3"/>
  <c r="E159" i="3"/>
  <c r="E245" i="3"/>
  <c r="E301" i="3"/>
  <c r="E263" i="3"/>
  <c r="E303" i="3"/>
  <c r="E382" i="3"/>
  <c r="E350" i="3"/>
  <c r="E423" i="3"/>
  <c r="E402" i="3"/>
  <c r="E578" i="3"/>
  <c r="E586" i="3"/>
  <c r="AI6" i="3"/>
  <c r="AN6" i="3"/>
  <c r="E518" i="3"/>
  <c r="E533" i="3"/>
  <c r="E270" i="3"/>
  <c r="E143" i="3"/>
  <c r="E337" i="3"/>
  <c r="E579" i="3"/>
  <c r="E305" i="3"/>
  <c r="E359" i="3"/>
  <c r="E574" i="3"/>
  <c r="E509" i="3"/>
  <c r="E426" i="3"/>
  <c r="E501" i="3"/>
  <c r="E125" i="3"/>
  <c r="E366" i="3"/>
  <c r="E553" i="3"/>
  <c r="E282" i="3"/>
  <c r="N6" i="3"/>
  <c r="E388" i="3"/>
  <c r="E545" i="3"/>
  <c r="E567" i="3"/>
  <c r="E510" i="3"/>
  <c r="E461" i="3"/>
  <c r="E352" i="3"/>
  <c r="E227" i="3"/>
  <c r="E205" i="3"/>
  <c r="E165" i="3"/>
  <c r="E128" i="3"/>
  <c r="E353" i="3"/>
  <c r="E385" i="3"/>
  <c r="E495" i="3"/>
  <c r="E237" i="3"/>
  <c r="E278" i="3"/>
  <c r="E415" i="3"/>
  <c r="E563" i="3"/>
  <c r="E395" i="3"/>
  <c r="E172" i="3"/>
  <c r="E260" i="3"/>
  <c r="E445" i="3"/>
  <c r="E550" i="3"/>
  <c r="E535" i="3"/>
  <c r="E329" i="3"/>
  <c r="E539" i="3"/>
  <c r="E348" i="3"/>
  <c r="E121" i="3"/>
  <c r="E521" i="3"/>
  <c r="E540" i="3"/>
  <c r="E542" i="3"/>
  <c r="E538" i="3"/>
  <c r="E529" i="3"/>
  <c r="E502" i="3"/>
  <c r="E517" i="3"/>
  <c r="E504" i="3"/>
  <c r="E520" i="3"/>
  <c r="E508" i="3"/>
  <c r="E500" i="3"/>
  <c r="E498" i="3"/>
  <c r="E453" i="3"/>
  <c r="E536" i="3"/>
  <c r="I6" i="3"/>
  <c r="E390" i="3"/>
  <c r="E285" i="3"/>
  <c r="E239" i="3"/>
  <c r="E410" i="3"/>
  <c r="E328" i="3"/>
  <c r="E319" i="3"/>
  <c r="E526" i="3"/>
  <c r="E268" i="3"/>
  <c r="AJ6" i="3"/>
  <c r="AC6" i="3" s="1"/>
  <c r="AA6" i="3"/>
  <c r="E399" i="3"/>
  <c r="E280" i="3"/>
  <c r="E124" i="3"/>
  <c r="E397" i="3"/>
  <c r="E568" i="3"/>
  <c r="E565" i="3"/>
  <c r="E361" i="3"/>
  <c r="E503" i="3"/>
  <c r="E302" i="3"/>
  <c r="E583" i="3"/>
  <c r="E269" i="3"/>
  <c r="E148" i="3"/>
  <c r="E236" i="3"/>
  <c r="E156" i="3"/>
  <c r="E136" i="3"/>
  <c r="E196" i="3"/>
  <c r="E262" i="3"/>
  <c r="E244" i="3"/>
  <c r="E296" i="3"/>
  <c r="E368" i="3"/>
  <c r="E306" i="3"/>
  <c r="E434" i="3"/>
  <c r="E549" i="3"/>
  <c r="AK6" i="3"/>
  <c r="E16" i="3"/>
  <c r="S6" i="3"/>
  <c r="E97" i="3"/>
  <c r="E431" i="3"/>
  <c r="E530" i="3"/>
  <c r="E555" i="3"/>
  <c r="E153" i="3"/>
  <c r="E217" i="3"/>
  <c r="E322" i="3"/>
  <c r="O6" i="3"/>
  <c r="X6" i="3"/>
  <c r="E336" i="3"/>
  <c r="E246" i="3"/>
  <c r="E293" i="3"/>
  <c r="E314" i="3"/>
  <c r="E511" i="3"/>
  <c r="E69" i="3"/>
  <c r="E261" i="3"/>
  <c r="E304" i="3"/>
  <c r="E528" i="3"/>
  <c r="E183" i="3"/>
  <c r="E213" i="3"/>
  <c r="E17" i="3"/>
  <c r="E347" i="3"/>
  <c r="E114" i="3"/>
  <c r="E38" i="3"/>
  <c r="E42" i="3"/>
  <c r="E46" i="3"/>
  <c r="E50" i="3"/>
  <c r="E54" i="3"/>
  <c r="E58" i="3"/>
  <c r="E62" i="3"/>
  <c r="E66" i="3"/>
  <c r="E70" i="3"/>
  <c r="E74" i="3"/>
  <c r="E78" i="3"/>
  <c r="E82" i="3"/>
  <c r="E86" i="3"/>
  <c r="E90" i="3"/>
  <c r="E94" i="3"/>
  <c r="E98" i="3"/>
  <c r="E102" i="3"/>
  <c r="E106" i="3"/>
  <c r="E110" i="3"/>
  <c r="E551" i="3"/>
  <c r="D21" i="71"/>
  <c r="T21" i="71"/>
  <c r="E127" i="3"/>
  <c r="E34" i="3"/>
  <c r="E65" i="3"/>
  <c r="E71" i="3"/>
  <c r="E75" i="3"/>
  <c r="E79" i="3"/>
  <c r="E83" i="3"/>
  <c r="E87" i="3"/>
  <c r="E91" i="3"/>
  <c r="E95" i="3"/>
  <c r="E103" i="3"/>
  <c r="E107" i="3"/>
  <c r="E111" i="3"/>
  <c r="D17" i="71"/>
  <c r="T17" i="71"/>
  <c r="E99" i="3"/>
  <c r="F69" i="15"/>
  <c r="F65" i="40"/>
  <c r="G63" i="40"/>
  <c r="S2" i="43"/>
  <c r="S6" i="43"/>
  <c r="S4" i="43"/>
  <c r="S7" i="43"/>
  <c r="S5" i="43"/>
  <c r="C23" i="43"/>
  <c r="C21" i="43" s="1"/>
  <c r="S3" i="43"/>
  <c r="S10" i="40"/>
  <c r="K14" i="1"/>
  <c r="E30" i="6"/>
  <c r="E27" i="6"/>
  <c r="U10" i="39"/>
  <c r="AB10" i="39"/>
  <c r="AB10" i="40"/>
  <c r="U10" i="40"/>
  <c r="W10" i="40"/>
  <c r="AC10" i="40"/>
  <c r="S10" i="39"/>
  <c r="AA10" i="39"/>
  <c r="I48" i="35"/>
  <c r="F68" i="39"/>
  <c r="E70" i="39"/>
  <c r="H52" i="37"/>
  <c r="H59" i="34"/>
  <c r="G46" i="36"/>
  <c r="F58" i="21"/>
  <c r="G58" i="21" s="1"/>
  <c r="H58" i="21" s="1"/>
  <c r="I58" i="21" s="1"/>
  <c r="J58" i="21" s="1"/>
  <c r="K58" i="21" s="1"/>
  <c r="L58" i="21" s="1"/>
  <c r="M58" i="21" s="1"/>
  <c r="N58" i="21" s="1"/>
  <c r="O58" i="21" s="1"/>
  <c r="H7" i="21"/>
  <c r="G1" i="73"/>
  <c r="C19" i="67" l="1"/>
  <c r="C20" i="67" s="1"/>
  <c r="C26" i="67" s="1"/>
  <c r="B40" i="1"/>
  <c r="D7" i="71"/>
  <c r="C6" i="71"/>
  <c r="C29" i="68"/>
  <c r="D27" i="68" s="1"/>
  <c r="C47" i="68"/>
  <c r="D45" i="68" s="1"/>
  <c r="C47" i="69"/>
  <c r="D45" i="69" s="1"/>
  <c r="C29" i="69"/>
  <c r="D27" i="69" s="1"/>
  <c r="AY87" i="3"/>
  <c r="AY371" i="3"/>
  <c r="AY299" i="3"/>
  <c r="AY513" i="3"/>
  <c r="AY114" i="3"/>
  <c r="AY60" i="3"/>
  <c r="AY59" i="3"/>
  <c r="AY41" i="3"/>
  <c r="AY170" i="3"/>
  <c r="AY342" i="3"/>
  <c r="AY58" i="3"/>
  <c r="AY274" i="3"/>
  <c r="BJ6" i="3"/>
  <c r="AY263" i="3"/>
  <c r="AY206" i="3"/>
  <c r="AY569" i="3"/>
  <c r="AY395" i="3"/>
  <c r="AY318" i="3"/>
  <c r="AY131" i="3"/>
  <c r="AY83" i="3"/>
  <c r="AY210" i="3"/>
  <c r="AY177" i="3"/>
  <c r="AY104" i="3"/>
  <c r="AY381" i="3"/>
  <c r="AY231" i="3"/>
  <c r="AY118" i="3"/>
  <c r="AY201" i="3"/>
  <c r="AY45" i="3"/>
  <c r="AY541" i="3"/>
  <c r="AY433" i="3"/>
  <c r="AY358" i="3"/>
  <c r="AY180" i="3"/>
  <c r="AY470" i="3"/>
  <c r="AY225" i="3"/>
  <c r="AY276" i="3"/>
  <c r="AY115" i="3"/>
  <c r="AY66"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98" i="3"/>
  <c r="AY171" i="3"/>
  <c r="AY163" i="3"/>
  <c r="AY237" i="3"/>
  <c r="AY334" i="3"/>
  <c r="AY526" i="3"/>
  <c r="AY390" i="3"/>
  <c r="AY447" i="3"/>
  <c r="AY574" i="3"/>
  <c r="AY85" i="3"/>
  <c r="AY25" i="3"/>
  <c r="AY157" i="3"/>
  <c r="AY271" i="3"/>
  <c r="AY211" i="3"/>
  <c r="BI6" i="3"/>
  <c r="AY186" i="3"/>
  <c r="AY243"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7" i="3"/>
  <c r="AY245" i="3"/>
  <c r="AY246" i="3"/>
  <c r="AY553" i="3"/>
  <c r="AY428" i="3"/>
  <c r="AY23" i="3"/>
  <c r="AY197" i="3"/>
  <c r="AY392" i="3"/>
  <c r="AY149" i="3"/>
  <c r="AY77" i="3"/>
  <c r="AY452" i="3"/>
  <c r="AY106" i="3"/>
  <c r="AY268" i="3"/>
  <c r="AY155" i="3"/>
  <c r="AY290" i="3"/>
  <c r="AY24" i="3"/>
  <c r="AY554" i="3"/>
  <c r="AY214" i="3"/>
  <c r="AY294" i="3"/>
  <c r="AY138" i="3"/>
  <c r="AY28" i="3"/>
  <c r="AY108" i="3"/>
  <c r="BK6" i="3"/>
  <c r="AY465" i="3"/>
  <c r="AY228" i="3"/>
  <c r="AY409" i="3"/>
  <c r="AY335" i="3"/>
  <c r="AY297" i="3"/>
  <c r="AY188" i="3"/>
  <c r="AY176"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18" i="3"/>
  <c r="AY90" i="3"/>
  <c r="AY75" i="3"/>
  <c r="AY387" i="3"/>
  <c r="AY444" i="3"/>
  <c r="AY269" i="3"/>
  <c r="AY311" i="3"/>
  <c r="AY535" i="3"/>
  <c r="AY555" i="3"/>
  <c r="AY68" i="3"/>
  <c r="AY178" i="3"/>
  <c r="AY117" i="3"/>
  <c r="AY254" i="3"/>
  <c r="AY365" i="3"/>
  <c r="AY57" i="3"/>
  <c r="AY130"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7" i="43"/>
  <c r="O17" i="43"/>
  <c r="P17" i="43"/>
  <c r="N17" i="43"/>
  <c r="H6" i="3"/>
  <c r="E6" i="3" s="1"/>
  <c r="C47" i="11"/>
  <c r="D45" i="11" s="1"/>
  <c r="C29" i="11"/>
  <c r="D27" i="11" s="1"/>
  <c r="D3" i="33"/>
  <c r="B2" i="33" s="1"/>
  <c r="B3" i="33" s="1"/>
  <c r="C17" i="4"/>
  <c r="B4" i="52" s="1"/>
  <c r="B43" i="72" s="1"/>
  <c r="D3" i="37"/>
  <c r="D37" i="11"/>
  <c r="C37" i="11" s="1"/>
  <c r="D19" i="11"/>
  <c r="C19" i="11" s="1"/>
  <c r="C20" i="11" s="1"/>
  <c r="C28" i="11" s="1"/>
  <c r="C27" i="11" s="1"/>
  <c r="D3" i="34"/>
  <c r="E6" i="6"/>
  <c r="L18" i="9"/>
  <c r="D3" i="21"/>
  <c r="M18" i="9"/>
  <c r="B118" i="9" s="1"/>
  <c r="B14" i="74" s="1"/>
  <c r="B1" i="74" s="1"/>
  <c r="D14" i="12"/>
  <c r="F11" i="67"/>
  <c r="M11" i="67"/>
  <c r="J10" i="67" s="1"/>
  <c r="J5" i="67" s="1"/>
  <c r="M11" i="15"/>
  <c r="J10" i="15" s="1"/>
  <c r="J5" i="15" s="1"/>
  <c r="F11" i="15"/>
  <c r="J7" i="21"/>
  <c r="AC7" i="21" s="1"/>
  <c r="V48" i="21" s="1"/>
  <c r="I48" i="21" s="1"/>
  <c r="G65" i="40"/>
  <c r="H63" i="40"/>
  <c r="C34" i="69"/>
  <c r="K16" i="1"/>
  <c r="M14" i="1"/>
  <c r="K20" i="6"/>
  <c r="M20" i="6" s="1"/>
  <c r="I20" i="6" s="1"/>
  <c r="K21" i="6"/>
  <c r="M21" i="6" s="1"/>
  <c r="I21" i="6" s="1"/>
  <c r="K22" i="6"/>
  <c r="M22" i="6" s="1"/>
  <c r="I22" i="6" s="1"/>
  <c r="K23" i="6"/>
  <c r="M23" i="6" s="1"/>
  <c r="I23" i="6" s="1"/>
  <c r="K25" i="6"/>
  <c r="M25" i="6" s="1"/>
  <c r="I25" i="6" s="1"/>
  <c r="K24" i="6"/>
  <c r="M24" i="6" s="1"/>
  <c r="I24" i="6" s="1"/>
  <c r="K26" i="6"/>
  <c r="M26" i="6" s="1"/>
  <c r="I26" i="6" s="1"/>
  <c r="K19" i="6"/>
  <c r="S6" i="1" s="1"/>
  <c r="E31" i="6"/>
  <c r="W7" i="21"/>
  <c r="F7" i="21"/>
  <c r="AB7" i="21"/>
  <c r="T48" i="21" s="1"/>
  <c r="G48" i="21" s="1"/>
  <c r="U7" i="21"/>
  <c r="H46" i="36"/>
  <c r="I59" i="34"/>
  <c r="I52" i="37"/>
  <c r="J52" i="37" s="1"/>
  <c r="K52" i="37" s="1"/>
  <c r="L52" i="37" s="1"/>
  <c r="M52" i="37" s="1"/>
  <c r="N52" i="37" s="1"/>
  <c r="O52" i="37" s="1"/>
  <c r="G68" i="39"/>
  <c r="F70" i="39"/>
  <c r="J48" i="35"/>
  <c r="C17" i="15"/>
  <c r="E6" i="70" l="1"/>
  <c r="E2" i="70" s="1"/>
  <c r="J18" i="15"/>
  <c r="J24" i="15"/>
  <c r="J26" i="15"/>
  <c r="J29" i="15" s="1"/>
  <c r="C10" i="67"/>
  <c r="C5" i="67" s="1"/>
  <c r="C53" i="67"/>
  <c r="C48" i="67" s="1"/>
  <c r="C7" i="74"/>
  <c r="C8" i="74"/>
  <c r="D19" i="6"/>
  <c r="D22" i="6"/>
  <c r="D10" i="6"/>
  <c r="D24" i="6"/>
  <c r="D28" i="6"/>
  <c r="D30" i="6" s="1"/>
  <c r="D26" i="6"/>
  <c r="D21" i="6"/>
  <c r="D29" i="6"/>
  <c r="D13" i="6"/>
  <c r="D14" i="6"/>
  <c r="M19" i="9"/>
  <c r="C118" i="9" s="1"/>
  <c r="C14" i="74" s="1"/>
  <c r="B2" i="74" s="1"/>
  <c r="L19" i="9"/>
  <c r="D11" i="6"/>
  <c r="D23" i="6"/>
  <c r="D25" i="6"/>
  <c r="D5" i="6"/>
  <c r="D20" i="6"/>
  <c r="D15" i="6"/>
  <c r="D9" i="6"/>
  <c r="D12" i="6"/>
  <c r="D8" i="6"/>
  <c r="D16" i="6" s="1"/>
  <c r="E61" i="40"/>
  <c r="C18" i="4"/>
  <c r="D6" i="6"/>
  <c r="F7" i="37"/>
  <c r="AA7" i="37" s="1"/>
  <c r="R42" i="37" s="1"/>
  <c r="C53" i="15"/>
  <c r="C48" i="15" s="1"/>
  <c r="C10" i="15"/>
  <c r="C5" i="15" s="1"/>
  <c r="C33" i="15" s="1"/>
  <c r="J24" i="67"/>
  <c r="J18" i="67"/>
  <c r="J26" i="67"/>
  <c r="J29" i="67" s="1"/>
  <c r="C14" i="12"/>
  <c r="D17" i="12"/>
  <c r="C17" i="12" s="1"/>
  <c r="D10" i="69"/>
  <c r="D10" i="11"/>
  <c r="C10" i="11" s="1"/>
  <c r="D10" i="68"/>
  <c r="D20" i="12"/>
  <c r="C20" i="12" s="1"/>
  <c r="C18" i="12" s="1"/>
  <c r="D6" i="71"/>
  <c r="C5" i="71"/>
  <c r="D5" i="71" s="1"/>
  <c r="M20" i="43" s="1"/>
  <c r="C19" i="43" s="1"/>
  <c r="F24" i="67"/>
  <c r="F22" i="11"/>
  <c r="F25" i="12"/>
  <c r="C26" i="12" s="1"/>
  <c r="D25" i="12" s="1"/>
  <c r="F22" i="68"/>
  <c r="F22" i="69"/>
  <c r="F24" i="15"/>
  <c r="C24" i="15" s="1"/>
  <c r="H65" i="40"/>
  <c r="I63" i="40"/>
  <c r="AQ6" i="1"/>
  <c r="S16" i="1"/>
  <c r="AR6" i="1"/>
  <c r="T6" i="1"/>
  <c r="M16" i="1"/>
  <c r="N16" i="1" s="1"/>
  <c r="T16" i="1"/>
  <c r="O14" i="1"/>
  <c r="C38" i="69"/>
  <c r="C35" i="69"/>
  <c r="S26" i="6"/>
  <c r="H26" i="6"/>
  <c r="R26" i="6" s="1"/>
  <c r="S25" i="6"/>
  <c r="H25" i="6"/>
  <c r="R25" i="6" s="1"/>
  <c r="S22" i="6"/>
  <c r="H22" i="6"/>
  <c r="R22" i="6" s="1"/>
  <c r="S20" i="6"/>
  <c r="H20" i="6"/>
  <c r="R20" i="6" s="1"/>
  <c r="K27" i="6"/>
  <c r="M19" i="6"/>
  <c r="S24" i="6"/>
  <c r="H24" i="6"/>
  <c r="R24" i="6" s="1"/>
  <c r="S23" i="6"/>
  <c r="H23" i="6"/>
  <c r="R23" i="6" s="1"/>
  <c r="S21" i="6"/>
  <c r="H21" i="6"/>
  <c r="R21" i="6" s="1"/>
  <c r="S7" i="37"/>
  <c r="J59" i="34"/>
  <c r="K59" i="34" s="1"/>
  <c r="L59" i="34" s="1"/>
  <c r="M59" i="34" s="1"/>
  <c r="N59" i="34" s="1"/>
  <c r="O59" i="34" s="1"/>
  <c r="I46" i="36"/>
  <c r="J46" i="36" s="1"/>
  <c r="K46" i="36" s="1"/>
  <c r="L46" i="36" s="1"/>
  <c r="M46" i="36" s="1"/>
  <c r="N46" i="36" s="1"/>
  <c r="O46" i="36" s="1"/>
  <c r="F7" i="36" s="1"/>
  <c r="G52" i="21"/>
  <c r="H52" i="21" s="1"/>
  <c r="G53" i="21"/>
  <c r="H53" i="21" s="1"/>
  <c r="J7" i="34"/>
  <c r="K48" i="35"/>
  <c r="G70" i="39"/>
  <c r="H68" i="39"/>
  <c r="H7" i="37"/>
  <c r="H7" i="34"/>
  <c r="J7" i="36"/>
  <c r="S7" i="21"/>
  <c r="AA7" i="21"/>
  <c r="R48" i="21" s="1"/>
  <c r="I52" i="21"/>
  <c r="J52" i="21" s="1"/>
  <c r="J7" i="37"/>
  <c r="J59" i="15"/>
  <c r="J60" i="15" s="1"/>
  <c r="C14" i="15"/>
  <c r="C15" i="15" l="1"/>
  <c r="C18" i="15"/>
  <c r="H7" i="36"/>
  <c r="F7" i="34"/>
  <c r="C44" i="69"/>
  <c r="D41" i="69" s="1"/>
  <c r="C26" i="69"/>
  <c r="D22" i="69" s="1"/>
  <c r="C24" i="67"/>
  <c r="C23" i="67"/>
  <c r="C10" i="68"/>
  <c r="D19" i="68"/>
  <c r="D19" i="69"/>
  <c r="C10" i="69"/>
  <c r="C8" i="69" s="1"/>
  <c r="C5" i="69" s="1"/>
  <c r="C23" i="69" s="1"/>
  <c r="C32" i="15"/>
  <c r="C38" i="15"/>
  <c r="C60" i="67"/>
  <c r="C66" i="67"/>
  <c r="C44" i="68"/>
  <c r="D41" i="68" s="1"/>
  <c r="C26" i="68"/>
  <c r="D22" i="68" s="1"/>
  <c r="C44" i="11"/>
  <c r="D41" i="11" s="1"/>
  <c r="C26" i="11"/>
  <c r="D22" i="11" s="1"/>
  <c r="C25" i="11"/>
  <c r="C23" i="11"/>
  <c r="C24" i="11"/>
  <c r="C37" i="43"/>
  <c r="T13" i="43"/>
  <c r="V13" i="43" s="1"/>
  <c r="C35" i="43"/>
  <c r="T8" i="43"/>
  <c r="V8" i="43" s="1"/>
  <c r="C36" i="43"/>
  <c r="T2" i="43"/>
  <c r="V2" i="43" s="1"/>
  <c r="C29" i="43"/>
  <c r="T5" i="43"/>
  <c r="V5" i="43" s="1"/>
  <c r="C38" i="43"/>
  <c r="T6" i="43"/>
  <c r="V6" i="43" s="1"/>
  <c r="T3" i="43"/>
  <c r="V3" i="43" s="1"/>
  <c r="C39" i="43"/>
  <c r="T14" i="43"/>
  <c r="V14" i="43" s="1"/>
  <c r="T4" i="43"/>
  <c r="V4" i="43" s="1"/>
  <c r="C34" i="43"/>
  <c r="T10" i="43"/>
  <c r="V10" i="43" s="1"/>
  <c r="T12" i="43"/>
  <c r="V12" i="43" s="1"/>
  <c r="T7" i="43"/>
  <c r="V7" i="43" s="1"/>
  <c r="C33" i="43"/>
  <c r="T15" i="43"/>
  <c r="V15" i="43" s="1"/>
  <c r="T11" i="43"/>
  <c r="V11" i="43" s="1"/>
  <c r="T9" i="43"/>
  <c r="V9" i="43" s="1"/>
  <c r="T16" i="43"/>
  <c r="V16" i="43" s="1"/>
  <c r="C66" i="15"/>
  <c r="C60" i="15"/>
  <c r="C4" i="52"/>
  <c r="B45" i="72" s="1"/>
  <c r="A7" i="51"/>
  <c r="B7" i="72" s="1"/>
  <c r="A10" i="51"/>
  <c r="B9" i="72" s="1"/>
  <c r="D8" i="74"/>
  <c r="D7" i="74"/>
  <c r="D27" i="6"/>
  <c r="D31" i="6" s="1"/>
  <c r="C32" i="67"/>
  <c r="C38" i="67"/>
  <c r="I65" i="40"/>
  <c r="J63" i="40"/>
  <c r="F50" i="68"/>
  <c r="F50" i="11"/>
  <c r="F50" i="69"/>
  <c r="P14" i="1"/>
  <c r="P16" i="1" s="1"/>
  <c r="C11" i="12" s="1"/>
  <c r="O16" i="1"/>
  <c r="C34" i="11"/>
  <c r="C34" i="68"/>
  <c r="L16" i="1"/>
  <c r="M27" i="6"/>
  <c r="I19" i="6"/>
  <c r="AC7" i="37"/>
  <c r="V42" i="37" s="1"/>
  <c r="I42" i="37" s="1"/>
  <c r="W7" i="37"/>
  <c r="U7" i="34"/>
  <c r="AB7" i="34"/>
  <c r="T49" i="34" s="1"/>
  <c r="G49" i="34" s="1"/>
  <c r="I68" i="39"/>
  <c r="H70" i="39"/>
  <c r="AC7" i="34"/>
  <c r="V49" i="34" s="1"/>
  <c r="I49" i="34" s="1"/>
  <c r="W7" i="34"/>
  <c r="S7" i="36"/>
  <c r="AA7" i="36"/>
  <c r="R36" i="36" s="1"/>
  <c r="E48" i="21"/>
  <c r="R49" i="21"/>
  <c r="W7" i="36"/>
  <c r="AC7" i="36"/>
  <c r="V36" i="36" s="1"/>
  <c r="I36" i="36" s="1"/>
  <c r="U7" i="37"/>
  <c r="AB7" i="37"/>
  <c r="T42" i="37" s="1"/>
  <c r="G42" i="37" s="1"/>
  <c r="L48" i="35"/>
  <c r="M48" i="35" s="1"/>
  <c r="N48" i="35" s="1"/>
  <c r="O48" i="35" s="1"/>
  <c r="H7" i="35" s="1"/>
  <c r="F7" i="35"/>
  <c r="J7" i="35"/>
  <c r="AB7" i="36"/>
  <c r="T36" i="36" s="1"/>
  <c r="G36" i="36" s="1"/>
  <c r="U7" i="36"/>
  <c r="S7" i="34"/>
  <c r="AA7" i="34"/>
  <c r="R49" i="34" s="1"/>
  <c r="E42" i="37"/>
  <c r="R43" i="37"/>
  <c r="Q48" i="15"/>
  <c r="C19" i="15" l="1"/>
  <c r="C20" i="15" s="1"/>
  <c r="C26" i="15" s="1"/>
  <c r="C22" i="11"/>
  <c r="C31" i="11" s="1"/>
  <c r="C29" i="67"/>
  <c r="C33" i="67" s="1"/>
  <c r="C31" i="67" s="1"/>
  <c r="G39" i="43"/>
  <c r="I39" i="43" s="1"/>
  <c r="E39" i="43"/>
  <c r="C19" i="69"/>
  <c r="D37" i="69"/>
  <c r="C37" i="69" s="1"/>
  <c r="C33" i="69" s="1"/>
  <c r="C39" i="69" s="1"/>
  <c r="C43" i="69" s="1"/>
  <c r="I6" i="6"/>
  <c r="I5" i="6"/>
  <c r="G33" i="43"/>
  <c r="I33" i="43" s="1"/>
  <c r="E33" i="43"/>
  <c r="G34" i="43"/>
  <c r="I34" i="43" s="1"/>
  <c r="E34" i="43"/>
  <c r="E38" i="43"/>
  <c r="G38" i="43"/>
  <c r="I38" i="43" s="1"/>
  <c r="E29" i="43"/>
  <c r="C26" i="43" s="1"/>
  <c r="C30" i="43"/>
  <c r="E30" i="43" s="1"/>
  <c r="C27" i="43" s="1"/>
  <c r="G36" i="43"/>
  <c r="I36" i="43" s="1"/>
  <c r="E36" i="43"/>
  <c r="G35" i="43"/>
  <c r="I35" i="43" s="1"/>
  <c r="E35" i="43"/>
  <c r="G37" i="43"/>
  <c r="I37" i="43" s="1"/>
  <c r="E37" i="43"/>
  <c r="C19" i="68"/>
  <c r="C24" i="68" s="1"/>
  <c r="D37" i="68"/>
  <c r="C37" i="68" s="1"/>
  <c r="J65" i="40"/>
  <c r="K63" i="40"/>
  <c r="C35" i="68"/>
  <c r="C38" i="68"/>
  <c r="C35" i="11"/>
  <c r="C38" i="11"/>
  <c r="C12" i="12"/>
  <c r="C15" i="12"/>
  <c r="I27" i="6"/>
  <c r="S19" i="6"/>
  <c r="S27" i="6" s="1"/>
  <c r="H19" i="6"/>
  <c r="E47" i="37"/>
  <c r="F47" i="37" s="1"/>
  <c r="E46" i="37"/>
  <c r="F46" i="37" s="1"/>
  <c r="G40" i="36"/>
  <c r="H40" i="36" s="1"/>
  <c r="G41" i="36"/>
  <c r="H41" i="36" s="1"/>
  <c r="G46" i="37"/>
  <c r="H46" i="37" s="1"/>
  <c r="G47" i="37"/>
  <c r="H47" i="37" s="1"/>
  <c r="C43" i="37"/>
  <c r="B2" i="37" s="1"/>
  <c r="B3" i="37" s="1"/>
  <c r="C42" i="37"/>
  <c r="R50" i="34"/>
  <c r="E49" i="34"/>
  <c r="I54" i="34" s="1"/>
  <c r="J54" i="34" s="1"/>
  <c r="AC7" i="35"/>
  <c r="V38" i="35" s="1"/>
  <c r="I38" i="35" s="1"/>
  <c r="W7" i="35"/>
  <c r="AB7" i="35"/>
  <c r="T38" i="35" s="1"/>
  <c r="G38" i="35" s="1"/>
  <c r="U7" i="35"/>
  <c r="E52" i="21"/>
  <c r="F52" i="21" s="1"/>
  <c r="E53" i="21"/>
  <c r="F53" i="21" s="1"/>
  <c r="I53" i="21"/>
  <c r="J53" i="21" s="1"/>
  <c r="E36" i="36"/>
  <c r="R37" i="36"/>
  <c r="I53" i="34"/>
  <c r="J53" i="34" s="1"/>
  <c r="J68" i="39"/>
  <c r="I70" i="39"/>
  <c r="I47" i="37"/>
  <c r="J47" i="37" s="1"/>
  <c r="I46" i="37"/>
  <c r="J46" i="37" s="1"/>
  <c r="S7" i="35"/>
  <c r="AA7" i="35"/>
  <c r="R38" i="35" s="1"/>
  <c r="I41" i="36"/>
  <c r="J41" i="36" s="1"/>
  <c r="I40" i="36"/>
  <c r="J40" i="36" s="1"/>
  <c r="C48" i="21"/>
  <c r="C49" i="21"/>
  <c r="B2" i="21" s="1"/>
  <c r="B3" i="21" s="1"/>
  <c r="G53" i="34"/>
  <c r="H53" i="34" s="1"/>
  <c r="G54" i="34"/>
  <c r="H54" i="34" s="1"/>
  <c r="E6" i="76"/>
  <c r="C46" i="69" l="1"/>
  <c r="C45" i="69" s="1"/>
  <c r="C36" i="67"/>
  <c r="Q49" i="67"/>
  <c r="C42" i="69"/>
  <c r="C41" i="69" s="1"/>
  <c r="C57" i="67"/>
  <c r="C61" i="67" s="1"/>
  <c r="C59" i="67" s="1"/>
  <c r="J14" i="67"/>
  <c r="J22" i="67" s="1"/>
  <c r="J19" i="67"/>
  <c r="J17" i="67" s="1"/>
  <c r="J59" i="67"/>
  <c r="J60" i="67" s="1"/>
  <c r="Q48" i="67" s="1"/>
  <c r="C13" i="67"/>
  <c r="C56" i="67" s="1"/>
  <c r="C65" i="67" s="1"/>
  <c r="E2" i="76"/>
  <c r="C23" i="15"/>
  <c r="C29" i="15" s="1"/>
  <c r="B2" i="43"/>
  <c r="C24" i="69"/>
  <c r="C20" i="69"/>
  <c r="C28" i="69" s="1"/>
  <c r="C27" i="69" s="1"/>
  <c r="L63" i="40"/>
  <c r="K65" i="40"/>
  <c r="C33" i="68"/>
  <c r="C39" i="68" s="1"/>
  <c r="C16" i="12"/>
  <c r="C21" i="12" s="1"/>
  <c r="C22" i="12" s="1"/>
  <c r="C30" i="12" s="1"/>
  <c r="C28" i="12" s="1"/>
  <c r="C33" i="11"/>
  <c r="R19" i="6"/>
  <c r="H27" i="6"/>
  <c r="K68" i="39"/>
  <c r="J70" i="39"/>
  <c r="E40" i="36"/>
  <c r="F40" i="36" s="1"/>
  <c r="E41" i="36"/>
  <c r="F41" i="36" s="1"/>
  <c r="E54" i="34"/>
  <c r="F54" i="34" s="1"/>
  <c r="E53" i="34"/>
  <c r="F53" i="34" s="1"/>
  <c r="E38" i="35"/>
  <c r="I43" i="35" s="1"/>
  <c r="J43" i="35" s="1"/>
  <c r="R39" i="35"/>
  <c r="C36" i="36"/>
  <c r="C37" i="36"/>
  <c r="B2" i="36" s="1"/>
  <c r="B3" i="36" s="1"/>
  <c r="G42" i="35"/>
  <c r="H42" i="35" s="1"/>
  <c r="G43" i="35"/>
  <c r="H43" i="35" s="1"/>
  <c r="I42" i="35"/>
  <c r="J42" i="35" s="1"/>
  <c r="C49" i="34"/>
  <c r="C50" i="34"/>
  <c r="B2" i="34" s="1"/>
  <c r="B3" i="34" s="1"/>
  <c r="B6" i="76"/>
  <c r="C49" i="69" l="1"/>
  <c r="C51" i="69" s="1"/>
  <c r="C37" i="67"/>
  <c r="C30" i="67" s="1"/>
  <c r="C39" i="67" s="1"/>
  <c r="Q69" i="67" s="1"/>
  <c r="C64" i="67"/>
  <c r="J13" i="67"/>
  <c r="J23" i="67" s="1"/>
  <c r="L46" i="67"/>
  <c r="C75" i="67"/>
  <c r="C80" i="67" s="1"/>
  <c r="C79" i="67" s="1"/>
  <c r="Q70" i="67"/>
  <c r="J16" i="67"/>
  <c r="J25" i="67" s="1"/>
  <c r="C58" i="67"/>
  <c r="C67" i="67" s="1"/>
  <c r="C68" i="67" s="1"/>
  <c r="C71" i="67" s="1"/>
  <c r="B2" i="76"/>
  <c r="B3" i="76" s="1"/>
  <c r="J19" i="15"/>
  <c r="C57" i="15"/>
  <c r="C13" i="15"/>
  <c r="Q49" i="15"/>
  <c r="C36" i="15"/>
  <c r="J14" i="15"/>
  <c r="C25" i="69"/>
  <c r="C22" i="69" s="1"/>
  <c r="C31" i="69" s="1"/>
  <c r="C52" i="69" s="1"/>
  <c r="B3" i="43"/>
  <c r="L65" i="40"/>
  <c r="M63" i="40"/>
  <c r="C42" i="68"/>
  <c r="R27" i="6"/>
  <c r="R6" i="1"/>
  <c r="C43" i="68"/>
  <c r="C46" i="68"/>
  <c r="C45" i="68" s="1"/>
  <c r="C42" i="11"/>
  <c r="C39" i="11"/>
  <c r="C43" i="11" s="1"/>
  <c r="C27" i="12"/>
  <c r="C25" i="12" s="1"/>
  <c r="C32" i="12" s="1"/>
  <c r="B2" i="12" s="1"/>
  <c r="B3" i="12" s="1"/>
  <c r="C39" i="35"/>
  <c r="B2" i="35" s="1"/>
  <c r="B3" i="35" s="1"/>
  <c r="C38" i="35"/>
  <c r="E43" i="35"/>
  <c r="F43" i="35" s="1"/>
  <c r="E42" i="35"/>
  <c r="F42" i="35" s="1"/>
  <c r="L68" i="39"/>
  <c r="K70" i="39"/>
  <c r="L51" i="67"/>
  <c r="M21" i="15"/>
  <c r="F35" i="15"/>
  <c r="Q68" i="67" l="1"/>
  <c r="C40" i="67"/>
  <c r="C45" i="67" s="1"/>
  <c r="C46" i="67" s="1"/>
  <c r="Q67" i="67"/>
  <c r="L57" i="67"/>
  <c r="L60" i="67" s="1"/>
  <c r="B2" i="69"/>
  <c r="B3" i="69" s="1"/>
  <c r="C57" i="69"/>
  <c r="C56" i="69" s="1"/>
  <c r="Q70" i="15"/>
  <c r="C37" i="15"/>
  <c r="C56" i="15"/>
  <c r="C65" i="15" s="1"/>
  <c r="C75" i="15"/>
  <c r="J13" i="15"/>
  <c r="J23" i="15" s="1"/>
  <c r="J22" i="15"/>
  <c r="C61" i="15"/>
  <c r="C64" i="15"/>
  <c r="M65" i="40"/>
  <c r="N63" i="40"/>
  <c r="J20" i="15"/>
  <c r="J17" i="15" s="1"/>
  <c r="C34" i="15"/>
  <c r="C31" i="15" s="1"/>
  <c r="F63" i="15"/>
  <c r="C62" i="15" s="1"/>
  <c r="R16" i="1"/>
  <c r="C41" i="68"/>
  <c r="C49" i="68" s="1"/>
  <c r="C51" i="68" s="1"/>
  <c r="C41" i="11"/>
  <c r="C46" i="11"/>
  <c r="C45" i="11" s="1"/>
  <c r="M68" i="39"/>
  <c r="L70" i="39"/>
  <c r="C59" i="15" l="1"/>
  <c r="C58" i="15" s="1"/>
  <c r="C67" i="15" s="1"/>
  <c r="C68" i="15" s="1"/>
  <c r="C71" i="15" s="1"/>
  <c r="Q56" i="67"/>
  <c r="D2" i="67"/>
  <c r="B3" i="67" s="1"/>
  <c r="Q47" i="67"/>
  <c r="Q53" i="67" s="1"/>
  <c r="C83" i="67"/>
  <c r="C82" i="67" s="1"/>
  <c r="Q65" i="67"/>
  <c r="C43" i="67"/>
  <c r="J16" i="15"/>
  <c r="J25" i="15" s="1"/>
  <c r="C30" i="15"/>
  <c r="C39" i="15" s="1"/>
  <c r="C80" i="15" s="1"/>
  <c r="C79" i="15" s="1"/>
  <c r="Q66" i="67"/>
  <c r="Q57" i="67"/>
  <c r="J7" i="40"/>
  <c r="O63" i="40"/>
  <c r="O65" i="40" s="1"/>
  <c r="N65" i="40"/>
  <c r="L57" i="15"/>
  <c r="L60" i="15" s="1"/>
  <c r="C49" i="11"/>
  <c r="C51" i="11" s="1"/>
  <c r="C52" i="11" s="1"/>
  <c r="B2" i="11" s="1"/>
  <c r="B3" i="11" s="1"/>
  <c r="N68" i="39"/>
  <c r="M70" i="39"/>
  <c r="L51" i="15"/>
  <c r="Q62" i="67" l="1"/>
  <c r="B2" i="67"/>
  <c r="Q75" i="67"/>
  <c r="C40" i="15"/>
  <c r="Q47" i="15" s="1"/>
  <c r="Q53" i="15" s="1"/>
  <c r="Q69" i="15"/>
  <c r="Q68" i="15" s="1"/>
  <c r="Q67" i="15"/>
  <c r="H7" i="40"/>
  <c r="F7" i="40"/>
  <c r="W7" i="40"/>
  <c r="AC7" i="40"/>
  <c r="V42" i="40" s="1"/>
  <c r="I42" i="40" s="1"/>
  <c r="I46" i="40" s="1"/>
  <c r="J46" i="40" s="1"/>
  <c r="L46" i="15"/>
  <c r="Q57" i="15"/>
  <c r="Q66" i="15"/>
  <c r="C56" i="11"/>
  <c r="C57" i="11" s="1"/>
  <c r="O68" i="39"/>
  <c r="O70" i="39" s="1"/>
  <c r="N70" i="39"/>
  <c r="C43" i="15" l="1"/>
  <c r="C46" i="15"/>
  <c r="C83" i="15"/>
  <c r="C82" i="15" s="1"/>
  <c r="B2" i="15"/>
  <c r="Q56" i="15"/>
  <c r="Q65" i="15"/>
  <c r="Q75" i="15" s="1"/>
  <c r="S7" i="40"/>
  <c r="AA7" i="40"/>
  <c r="R42" i="40" s="1"/>
  <c r="U7" i="40"/>
  <c r="AB7" i="40"/>
  <c r="T42" i="40" s="1"/>
  <c r="G42" i="40" s="1"/>
  <c r="Q62" i="15"/>
  <c r="B3" i="15"/>
  <c r="F7" i="39"/>
  <c r="H7" i="39"/>
  <c r="J7" i="39"/>
  <c r="AO6" i="1"/>
  <c r="D19" i="9"/>
  <c r="D20" i="9"/>
  <c r="D21" i="9" l="1"/>
  <c r="D102" i="9"/>
  <c r="B6" i="70"/>
  <c r="B2" i="70" s="1"/>
  <c r="B3" i="70" s="1"/>
  <c r="G46" i="40"/>
  <c r="H46" i="40" s="1"/>
  <c r="G47" i="40"/>
  <c r="H47" i="40" s="1"/>
  <c r="E42" i="40"/>
  <c r="R43" i="40"/>
  <c r="D103" i="9"/>
  <c r="AC7" i="39"/>
  <c r="V47" i="39" s="1"/>
  <c r="I47" i="39" s="1"/>
  <c r="W7" i="39"/>
  <c r="AB7" i="39"/>
  <c r="T47" i="39" s="1"/>
  <c r="G47" i="39" s="1"/>
  <c r="U7" i="39"/>
  <c r="S7" i="39"/>
  <c r="AA7" i="39"/>
  <c r="R47" i="39" s="1"/>
  <c r="C43" i="40" l="1"/>
  <c r="C42" i="40"/>
  <c r="I47" i="40"/>
  <c r="J47" i="40" s="1"/>
  <c r="E47" i="40"/>
  <c r="F47" i="40" s="1"/>
  <c r="E46" i="40"/>
  <c r="F46" i="40" s="1"/>
  <c r="E47" i="39"/>
  <c r="I52" i="39" s="1"/>
  <c r="J52" i="39" s="1"/>
  <c r="R48" i="39"/>
  <c r="G51" i="39"/>
  <c r="H51" i="39" s="1"/>
  <c r="G52" i="39"/>
  <c r="H52" i="39" s="1"/>
  <c r="I51" i="39"/>
  <c r="J51" i="39" s="1"/>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C48" i="39"/>
  <c r="C47" i="39"/>
  <c r="E51" i="39"/>
  <c r="F51" i="39" s="1"/>
  <c r="E52" i="39"/>
  <c r="F52" i="3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38" i="6" l="1"/>
  <c r="F39" i="6" s="1"/>
  <c r="F40" i="6" s="1"/>
  <c r="C6" i="68" l="1"/>
  <c r="C7" i="68" s="1"/>
  <c r="C5" i="68" s="1"/>
  <c r="C20" i="68" s="1"/>
  <c r="C25" i="68" s="1"/>
  <c r="C23" i="68" l="1"/>
  <c r="C22" i="68" s="1"/>
  <c r="C28" i="68"/>
  <c r="C27" i="68" s="1"/>
  <c r="C31" i="68" l="1"/>
  <c r="C52" i="68" s="1"/>
  <c r="B2" i="68" s="1"/>
  <c r="C19" i="9"/>
  <c r="C57" i="68" l="1"/>
  <c r="C56" i="68" s="1"/>
  <c r="C102" i="9"/>
  <c r="G19" i="9"/>
  <c r="C21" i="9"/>
  <c r="D22" i="9"/>
  <c r="B3" i="68"/>
  <c r="D35" i="9"/>
  <c r="D34" i="9"/>
  <c r="C20" i="9"/>
  <c r="G20" i="9" l="1"/>
  <c r="C103" i="9"/>
  <c r="C32" i="9"/>
  <c r="G21" i="9"/>
  <c r="H118" i="9" l="1"/>
  <c r="C35" i="9"/>
  <c r="F118" i="9" s="1"/>
  <c r="C34" i="9" l="1"/>
  <c r="D118" i="9" s="1"/>
  <c r="D119" i="9" s="1"/>
  <c r="D5" i="52" s="1"/>
  <c r="B49" i="72" s="1"/>
  <c r="G118" i="9"/>
  <c r="G4" i="52" s="1"/>
  <c r="B52" i="72" s="1"/>
  <c r="F4" i="52"/>
  <c r="B51" i="72" s="1"/>
  <c r="F119" i="9"/>
  <c r="F5" i="52" s="1"/>
  <c r="B53" i="72" s="1"/>
  <c r="H101" i="9"/>
  <c r="H119" i="9"/>
  <c r="H5" i="52" s="1"/>
  <c r="H4" i="52"/>
  <c r="I118" i="9"/>
  <c r="C104" i="9"/>
  <c r="D14" i="74"/>
  <c r="D4" i="52" l="1"/>
  <c r="B47" i="72" s="1"/>
  <c r="D45" i="9"/>
  <c r="D5" i="53"/>
  <c r="M48" i="9"/>
  <c r="H107" i="9"/>
  <c r="E14" i="74"/>
  <c r="B5" i="74"/>
  <c r="F14" i="74"/>
  <c r="C105" i="9"/>
  <c r="I4" i="52"/>
  <c r="H102" i="9"/>
  <c r="D7" i="53" s="1"/>
  <c r="B21" i="72" s="1"/>
  <c r="E118" i="9"/>
  <c r="E4" i="52" s="1"/>
  <c r="B48" i="72" s="1"/>
  <c r="D53" i="9" l="1"/>
  <c r="C78" i="9"/>
  <c r="C73" i="9" s="1"/>
  <c r="C93" i="9"/>
  <c r="C86" i="9" s="1"/>
  <c r="D55" i="9"/>
  <c r="M53" i="9" s="1"/>
  <c r="C72" i="9"/>
  <c r="C85" i="9"/>
  <c r="D52" i="9"/>
  <c r="C64" i="9"/>
  <c r="C63" i="9" s="1"/>
  <c r="C67" i="9" s="1"/>
  <c r="C68" i="9" s="1"/>
  <c r="D54" i="9" s="1"/>
  <c r="C5" i="74"/>
  <c r="D5" i="74"/>
  <c r="D13" i="53"/>
  <c r="H108" i="9"/>
  <c r="D15" i="53" s="1"/>
  <c r="B31" i="72" s="1"/>
  <c r="D122" i="9"/>
  <c r="M49" i="9"/>
  <c r="D6" i="53"/>
  <c r="B22" i="72" s="1"/>
  <c r="B20" i="72"/>
  <c r="C95" i="9" l="1"/>
  <c r="C96" i="9" s="1"/>
  <c r="E96" i="9" s="1"/>
  <c r="E97" i="9" s="1"/>
  <c r="L68" i="9"/>
  <c r="M68" i="9" s="1"/>
  <c r="L64" i="9"/>
  <c r="M64" i="9" s="1"/>
  <c r="L66" i="9"/>
  <c r="M66" i="9" s="1"/>
  <c r="L65" i="9"/>
  <c r="M65" i="9" s="1"/>
  <c r="L67" i="9"/>
  <c r="M67" i="9" s="1"/>
  <c r="L63" i="9"/>
  <c r="M63" i="9" s="1"/>
  <c r="G14" i="74"/>
  <c r="B6" i="74" s="1"/>
  <c r="D123" i="9"/>
  <c r="D9" i="52" s="1"/>
  <c r="D8" i="52"/>
  <c r="B30" i="72"/>
  <c r="D14" i="53"/>
  <c r="B32" i="72" s="1"/>
  <c r="C79" i="9"/>
  <c r="C97" i="9" l="1"/>
  <c r="D58" i="9" s="1"/>
  <c r="D56" i="9" s="1"/>
  <c r="M54" i="9" s="1"/>
  <c r="N57" i="9" s="1"/>
  <c r="N58" i="9" s="1"/>
  <c r="D6" i="74"/>
  <c r="C6" i="74"/>
  <c r="M69" i="9"/>
  <c r="N69" i="9" s="1"/>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<sst xmlns="http://schemas.openxmlformats.org/spreadsheetml/2006/main" count="7527" uniqueCount="3200">
  <si>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</si>
  <si>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</si>
  <si>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</si>
  <si>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</si>
  <si>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</si>
  <si>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</si>
  <si>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</si>
  <si>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</si>
  <si>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</si>
  <si>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</si>
  <si>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</si>
  <si>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</si>
  <si>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</si>
  <si>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</si>
  <si>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</si>
  <si>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</si>
  <si>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</si>
  <si>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</si>
  <si>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</si>
  <si>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</si>
  <si>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</si>
  <si>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</si>
  <si>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</si>
  <si>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</si>
  <si>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</si>
  <si>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</si>
  <si>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</si>
  <si>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</si>
  <si>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</si>
  <si>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</si>
  <si>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</si>
  <si>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</si>
  <si>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</si>
  <si>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</si>
  <si>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</si>
  <si>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</si>
  <si>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</si>
  <si>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</si>
  <si>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</si>
  <si>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</si>
  <si>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</si>
  <si>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</si>
  <si>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</si>
  <si>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</si>
  <si>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</si>
  <si>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</si>
  <si>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</si>
  <si>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</si>
  <si>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</si>
  <si>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</si>
  <si>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</si>
  <si>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</si>
  <si>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</si>
  <si>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</si>
  <si>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</si>
  <si>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</si>
  <si>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</si>
  <si>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</si>
  <si>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</si>
  <si>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</si>
  <si>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</si>
  <si>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</si>
  <si>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</si>
  <si>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</si>
  <si>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</si>
  <si>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</si>
  <si>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</si>
  <si>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</si>
  <si>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</si>
  <si>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</si>
  <si>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</si>
  <si>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</si>
  <si>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</si>
  <si>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</si>
  <si>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</si>
  <si>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</si>
  <si>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</si>
  <si>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</si>
  <si>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</si>
  <si>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</si>
  <si>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</si>
  <si>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</si>
  <si>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</si>
  <si>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</si>
  <si>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</si>
  <si>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</si>
  <si>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</si>
  <si>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</si>
  <si>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</si>
  <si>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</si>
  <si>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</si>
  <si>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</si>
  <si>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</si>
  <si>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</si>
  <si>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</si>
  <si>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</si>
  <si>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</si>
  <si>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</si>
  <si>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</si>
  <si>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</si>
  <si>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</si>
  <si>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</si>
  <si>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</si>
  <si>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</si>
  <si>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</si>
  <si>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</si>
  <si>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</si>
  <si>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</si>
  <si>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</si>
  <si>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</si>
  <si>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</si>
  <si>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</si>
  <si>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</si>
  <si>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</si>
  <si>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</si>
  <si>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</si>
  <si>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</si>
  <si>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</si>
  <si>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</si>
  <si>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</si>
  <si>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</si>
  <si>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</si>
  <si>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</si>
  <si>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</si>
  <si>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</si>
  <si>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</si>
  <si>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</si>
  <si>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</si>
  <si>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</si>
  <si>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</si>
  <si>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</si>
  <si>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</si>
  <si>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</si>
  <si>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</si>
  <si>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</si>
  <si>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</si>
  <si>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</si>
  <si>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</si>
  <si>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</si>
  <si>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</si>
  <si>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</si>
  <si>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</si>
  <si>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</si>
  <si>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</si>
  <si>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</si>
  <si>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</si>
  <si>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</si>
  <si>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</si>
  <si>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</si>
  <si>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</si>
  <si>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</si>
  <si>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</si>
  <si>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</si>
  <si>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</si>
  <si>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</si>
  <si>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</si>
  <si>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</si>
  <si>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</si>
  <si>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</si>
  <si>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</si>
  <si>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</si>
  <si>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</si>
  <si>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</si>
  <si>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</si>
  <si>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</si>
  <si>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</si>
  <si>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</si>
  <si>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</si>
  <si>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</si>
  <si>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</si>
  <si>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</si>
  <si>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</si>
  <si>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</si>
  <si>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</si>
  <si>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</si>
  <si>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</si>
  <si>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</si>
  <si>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</si>
  <si>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</si>
  <si>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</si>
  <si>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</si>
  <si>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</si>
  <si>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</si>
  <si>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</si>
  <si>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</si>
  <si>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</si>
  <si>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</si>
  <si>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</si>
  <si>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</si>
  <si>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</si>
  <si>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</si>
  <si>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</si>
  <si>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</si>
  <si>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</si>
  <si>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</si>
  <si>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</si>
  <si>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</si>
  <si>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</si>
  <si>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</si>
  <si>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</si>
  <si>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</si>
  <si>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</si>
  <si>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</si>
  <si>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</si>
  <si>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</si>
  <si>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</si>
  <si>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</si>
  <si>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</si>
  <si>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</si>
  <si>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</si>
  <si>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</si>
  <si>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</si>
  <si>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</si>
  <si>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</si>
  <si>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</si>
  <si>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</si>
  <si>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</si>
  <si>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</si>
  <si>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</si>
  <si>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</si>
  <si>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</si>
  <si>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</si>
  <si>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</si>
  <si>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</si>
  <si>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</si>
  <si>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</si>
  <si>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</si>
  <si>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</si>
  <si>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</si>
  <si>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</si>
  <si>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</si>
  <si>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</si>
  <si>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</si>
  <si>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</si>
  <si>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</si>
  <si>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</si>
  <si>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</si>
  <si>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</si>
  <si>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</si>
  <si>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</si>
  <si>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</si>
  <si>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</si>
  <si>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</si>
  <si>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</si>
  <si>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</si>
  <si>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</si>
  <si>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</si>
  <si>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</si>
  <si>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</si>
  <si>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</si>
  <si>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</si>
  <si>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</si>
  <si>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</si>
  <si>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</si>
  <si>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</si>
  <si>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</si>
  <si>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</si>
  <si>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</si>
  <si>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</si>
  <si>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</si>
  <si>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</si>
  <si>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</si>
  <si>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</si>
  <si>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</si>
  <si>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</si>
  <si>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</si>
  <si>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</si>
  <si>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</si>
  <si>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</si>
  <si>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</si>
  <si>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</si>
  <si>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</si>
  <si>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</si>
  <si>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</si>
  <si>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</si>
  <si>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</si>
  <si>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</si>
  <si>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</si>
  <si>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</si>
  <si>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</si>
  <si>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</si>
  <si>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</si>
  <si>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</si>
  <si>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</si>
  <si>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</si>
  <si>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</si>
  <si>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</si>
  <si>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</si>
  <si>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</si>
  <si>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</si>
  <si>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</si>
  <si>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</si>
  <si>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</si>
  <si>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</si>
  <si>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</si>
  <si>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</si>
  <si>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</si>
  <si>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</si>
  <si>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</si>
  <si>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</si>
  <si>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</si>
  <si>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</si>
  <si>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</si>
  <si>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</si>
  <si>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</si>
  <si>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</si>
  <si>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</si>
  <si>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</si>
  <si>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</si>
  <si>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</si>
  <si>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</si>
  <si>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</si>
  <si>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</si>
  <si>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</si>
  <si>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</si>
  <si>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</si>
  <si>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</si>
  <si>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</si>
  <si>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</si>
  <si>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</si>
  <si>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</si>
  <si>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</si>
  <si>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</si>
  <si>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</si>
  <si>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</si>
  <si>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</si>
  <si>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</si>
  <si>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</si>
  <si>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</si>
  <si>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</si>
  <si>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</si>
  <si>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</si>
  <si>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</si>
  <si>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</si>
  <si>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</si>
  <si>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</si>
  <si>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</si>
  <si>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</si>
  <si>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</si>
  <si>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</si>
  <si>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</si>
  <si>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</si>
  <si>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</si>
  <si>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</si>
  <si>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</si>
  <si>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</si>
  <si>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</si>
  <si>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</si>
  <si>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</si>
  <si>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</si>
  <si>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</si>
  <si>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</si>
  <si>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</si>
  <si>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</si>
  <si>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</si>
  <si>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</si>
  <si>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</si>
  <si>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</si>
  <si>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</si>
  <si>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</si>
  <si>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</si>
  <si>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</si>
  <si>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</si>
  <si>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</si>
  <si>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</si>
  <si>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</si>
  <si>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</si>
  <si>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</si>
  <si>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</si>
  <si>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</si>
  <si>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</si>
  <si>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</si>
  <si>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</si>
  <si>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</si>
  <si>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</si>
  <si>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</si>
  <si>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</si>
  <si>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</si>
  <si>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</si>
  <si>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</si>
  <si>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</si>
  <si>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</si>
  <si>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</si>
  <si>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</si>
  <si>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</si>
  <si>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</si>
  <si>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</si>
  <si>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</si>
  <si>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</si>
  <si>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</si>
  <si>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</si>
  <si>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</si>
  <si>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</si>
  <si>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</si>
  <si>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</si>
  <si>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</si>
  <si>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</si>
  <si>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</si>
  <si>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</si>
  <si>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</si>
  <si>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</si>
  <si>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</si>
  <si>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</si>
  <si>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</si>
  <si>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</si>
  <si>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</si>
  <si>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</si>
  <si>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</si>
  <si>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</si>
  <si>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</si>
  <si>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</si>
  <si>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</si>
  <si>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</si>
  <si>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</si>
  <si>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</si>
  <si>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</si>
  <si>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</si>
  <si>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</si>
  <si>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</si>
  <si>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</si>
  <si>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</si>
  <si>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</si>
  <si>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</si>
  <si>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</si>
  <si>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</si>
  <si>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</si>
  <si>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</si>
  <si>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</si>
  <si>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</si>
  <si>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</si>
  <si>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</si>
  <si>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</si>
  <si>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</si>
  <si>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</si>
  <si>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</si>
  <si>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</si>
  <si>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</si>
  <si>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</si>
  <si>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</si>
  <si>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</si>
  <si>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</si>
  <si>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</si>
  <si>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</si>
  <si>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</si>
  <si>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</si>
  <si>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</si>
  <si>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</si>
  <si>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</si>
  <si>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</si>
  <si>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</si>
  <si>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</si>
  <si>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</si>
  <si>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</si>
  <si>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</si>
  <si>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</si>
  <si>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</si>
  <si>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</si>
  <si>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</si>
  <si>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</si>
  <si>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</si>
  <si>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</si>
  <si>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</si>
  <si>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</si>
  <si>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</si>
  <si>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</si>
  <si>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</si>
  <si>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</si>
  <si>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</si>
  <si>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</si>
  <si>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</si>
  <si>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</si>
  <si>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</si>
  <si>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</si>
  <si>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</si>
  <si>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</si>
  <si>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</si>
  <si>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</si>
  <si>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</si>
  <si>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</si>
  <si>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</si>
  <si>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</si>
  <si>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</si>
  <si>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</si>
  <si>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</si>
  <si>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</si>
  <si>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</si>
  <si>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</si>
  <si>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</si>
  <si>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</si>
  <si>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</si>
  <si>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</si>
  <si>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</si>
  <si>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</si>
  <si>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</si>
  <si>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</si>
  <si>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</si>
  <si>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</si>
  <si>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</si>
  <si>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</si>
  <si>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</si>
  <si>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</si>
  <si>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</si>
  <si>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</si>
  <si>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</si>
  <si>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</si>
  <si>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</si>
  <si>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</si>
  <si>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</si>
  <si>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</si>
  <si>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</si>
  <si>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</si>
  <si>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</si>
  <si>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</si>
  <si>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</si>
  <si>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</si>
  <si>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</si>
  <si>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</si>
  <si>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</si>
  <si>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</si>
  <si>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</si>
  <si>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</si>
  <si>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</si>
  <si>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</si>
  <si>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</si>
  <si>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</si>
  <si>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</si>
  <si>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</si>
  <si>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</si>
  <si>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</si>
  <si>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</si>
  <si>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</si>
  <si>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</si>
  <si>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</si>
  <si>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</si>
  <si>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</si>
  <si>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</si>
  <si>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</si>
  <si>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</si>
  <si>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</si>
  <si>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</si>
  <si>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</si>
  <si>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</si>
  <si>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</si>
  <si>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</si>
  <si>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</si>
  <si>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</si>
  <si>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</si>
  <si>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</si>
  <si>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</si>
  <si>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</si>
  <si>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</si>
  <si>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</si>
  <si>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</si>
  <si>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</si>
  <si>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</si>
  <si>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</si>
  <si>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</si>
  <si>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</si>
  <si>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</si>
  <si>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</si>
  <si>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</si>
  <si>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</si>
  <si>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</si>
  <si>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</si>
  <si>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</si>
  <si>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</si>
  <si>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</si>
  <si>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</si>
  <si>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</si>
  <si>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</si>
  <si>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</si>
  <si>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</si>
  <si>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</si>
  <si>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</si>
  <si>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</si>
  <si>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</si>
  <si>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</si>
  <si>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</si>
  <si>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</si>
  <si>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</si>
  <si>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</si>
  <si>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</si>
  <si>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</si>
  <si>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</si>
  <si>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</si>
  <si>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</si>
  <si>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</si>
  <si>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</si>
  <si>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</si>
  <si>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</si>
  <si>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</si>
  <si>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</si>
  <si>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</si>
  <si>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</si>
  <si>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</si>
  <si>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</si>
  <si>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</si>
  <si>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</si>
  <si>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</si>
  <si>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</si>
  <si>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</si>
  <si>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</si>
  <si>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</si>
  <si>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</si>
  <si>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</si>
  <si>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</si>
  <si>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</si>
  <si>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</si>
  <si>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</si>
  <si>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</si>
  <si>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</si>
  <si>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</si>
  <si>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</si>
  <si>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</si>
  <si>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</si>
  <si>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</si>
  <si>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</si>
  <si>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</si>
  <si>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</si>
  <si>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</si>
  <si>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</si>
  <si>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</si>
  <si>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</si>
  <si>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</si>
  <si>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</si>
  <si>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</si>
  <si>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</si>
  <si>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</si>
  <si>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</si>
  <si>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</si>
  <si>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</si>
  <si>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</si>
  <si>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</si>
  <si>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</si>
  <si>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</si>
  <si>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</si>
  <si>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</si>
  <si>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</si>
  <si>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</si>
  <si>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</si>
  <si>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</si>
  <si>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</si>
  <si>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</si>
  <si>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</si>
  <si>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</si>
  <si>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</si>
  <si>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</si>
  <si>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</si>
  <si>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</si>
  <si>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</si>
  <si>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</si>
  <si>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</si>
  <si>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</si>
  <si>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</si>
  <si>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</si>
  <si>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</si>
  <si>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</si>
  <si>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</si>
  <si>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</si>
  <si>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</si>
  <si>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</si>
  <si>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</si>
  <si>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</si>
  <si>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</si>
  <si>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</si>
  <si>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</si>
  <si>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</si>
  <si>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</si>
  <si>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</si>
  <si>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</si>
  <si>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</si>
  <si>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</si>
  <si>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</si>
  <si>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</si>
  <si>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</si>
  <si>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</si>
  <si>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</si>
  <si>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</si>
  <si>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</si>
  <si>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</si>
  <si>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</si>
  <si>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</si>
  <si>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</si>
  <si>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</si>
  <si>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</si>
  <si>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</si>
  <si>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</si>
  <si>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</si>
  <si>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</si>
  <si>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</si>
  <si>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</si>
  <si>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</si>
  <si>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</si>
  <si>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</si>
  <si>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</si>
  <si>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</si>
  <si>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</si>
  <si>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</si>
  <si>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</si>
  <si>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</si>
  <si>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</si>
  <si>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</si>
  <si>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</si>
  <si>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</si>
  <si>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</si>
  <si>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</si>
  <si>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</si>
  <si>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</si>
  <si>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</si>
  <si>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</si>
  <si>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</si>
  <si>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</si>
  <si>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</si>
  <si>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</si>
  <si>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</si>
  <si>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</si>
  <si>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</si>
  <si>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</si>
  <si>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</si>
  <si>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</si>
  <si>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</si>
  <si>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</si>
  <si>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</si>
  <si>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</si>
  <si>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</si>
  <si>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</si>
  <si>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</si>
  <si>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</si>
  <si>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</si>
  <si>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</si>
  <si>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</si>
  <si>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</si>
  <si>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</si>
  <si>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</si>
  <si>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</si>
  <si>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</si>
  <si>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</si>
  <si>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</si>
  <si>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</si>
  <si>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</si>
  <si>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</si>
  <si>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</si>
  <si>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</si>
  <si>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</si>
  <si>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</si>
  <si>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</si>
  <si>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</si>
  <si>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</si>
  <si>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</si>
  <si>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</si>
  <si>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</si>
  <si>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</si>
  <si>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</si>
  <si>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</si>
  <si>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</si>
  <si>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</si>
  <si>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</si>
  <si>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</si>
  <si>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</si>
  <si>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</si>
  <si>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</si>
  <si>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</si>
  <si>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</si>
  <si>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</si>
  <si>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</si>
  <si>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</si>
  <si>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</si>
  <si>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</si>
  <si>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</si>
  <si>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</si>
  <si>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</si>
  <si>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</si>
  <si>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</si>
  <si>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</si>
  <si>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</si>
  <si>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</si>
  <si>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</si>
  <si>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</si>
  <si>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</si>
  <si>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</si>
  <si>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</si>
  <si>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</si>
  <si>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</si>
  <si>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</si>
  <si>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</si>
  <si>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</si>
  <si>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</si>
  <si>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</si>
  <si>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</si>
  <si>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</si>
  <si>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</si>
  <si>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</si>
  <si>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</si>
  <si>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</si>
  <si>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</si>
  <si>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</si>
  <si>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</si>
  <si>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</si>
  <si>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</si>
  <si>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</si>
  <si>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</si>
  <si>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</si>
  <si>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</si>
  <si>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</si>
  <si>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</si>
  <si>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</si>
  <si>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</si>
  <si>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</si>
  <si>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</si>
  <si>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</si>
  <si>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</si>
  <si>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</si>
  <si>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</si>
  <si>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</si>
  <si>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</si>
  <si>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</si>
  <si>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</si>
  <si>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</si>
  <si>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</si>
  <si>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</si>
  <si>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</si>
  <si>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</si>
  <si>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</si>
  <si>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</si>
  <si>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</si>
  <si>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</si>
  <si>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</si>
  <si>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</si>
  <si>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</si>
  <si>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</si>
  <si>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</si>
  <si>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</si>
  <si>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</si>
  <si>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</si>
  <si>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</si>
  <si>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</si>
  <si>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</si>
  <si>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</si>
  <si>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</si>
  <si>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</si>
  <si>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</si>
  <si>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</si>
  <si>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</si>
  <si>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</si>
  <si>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</si>
  <si>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</si>
  <si>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</si>
  <si>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</si>
  <si>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</si>
  <si>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</si>
  <si>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</si>
  <si>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</si>
  <si>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</si>
  <si>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</si>
  <si>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</si>
  <si>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</si>
  <si>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</si>
  <si>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</si>
  <si>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</si>
  <si>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</si>
  <si>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</si>
  <si>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</si>
  <si>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</si>
  <si>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</si>
  <si>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</si>
  <si>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</si>
  <si>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</si>
  <si>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</si>
  <si>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</si>
  <si>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</si>
  <si>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</si>
  <si>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</si>
  <si>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</si>
  <si>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</si>
  <si>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</si>
  <si>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</si>
  <si>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</si>
  <si>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</si>
  <si>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</si>
  <si>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</si>
  <si>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</si>
  <si>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</si>
  <si>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</si>
  <si>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</si>
  <si>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</si>
  <si>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</si>
  <si>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</si>
  <si>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</si>
  <si>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</si>
  <si>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</si>
  <si>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</si>
  <si>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</si>
  <si>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</si>
  <si>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</si>
  <si>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</si>
  <si>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</si>
  <si>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</si>
  <si>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</si>
  <si>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</si>
  <si>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</si>
  <si>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</si>
  <si>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</si>
  <si>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</si>
  <si>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</si>
  <si>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</si>
  <si>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</si>
  <si>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</si>
  <si>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</si>
  <si>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</si>
  <si>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</si>
  <si>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</si>
  <si>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</si>
  <si>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</si>
  <si>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</si>
  <si>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</si>
  <si>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</si>
  <si>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</si>
  <si>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</si>
  <si>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</si>
  <si>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</si>
  <si>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</si>
  <si>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</si>
  <si>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</si>
  <si>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</si>
  <si>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</si>
  <si>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</si>
  <si>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</si>
  <si>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</si>
  <si>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</si>
  <si>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</si>
  <si>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</si>
  <si>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</si>
  <si>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</si>
  <si>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</si>
  <si>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</si>
  <si>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</si>
  <si>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</si>
  <si>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</si>
  <si>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</si>
  <si>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</si>
  <si>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</si>
  <si>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</si>
  <si>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</si>
  <si>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</si>
  <si>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</si>
  <si>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</si>
  <si>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</si>
  <si>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</si>
  <si>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</si>
  <si>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</si>
  <si>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</si>
  <si>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</si>
  <si>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</si>
  <si>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</si>
  <si>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</si>
  <si>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</si>
  <si>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</si>
  <si>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</si>
  <si>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</si>
  <si>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</si>
  <si>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</si>
  <si>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</si>
  <si>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</si>
  <si>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</si>
  <si>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</si>
  <si>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</si>
  <si>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</si>
  <si>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</si>
  <si>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</si>
  <si>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</si>
  <si>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</si>
  <si>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</si>
  <si>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</si>
  <si>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</si>
  <si>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</si>
  <si>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</si>
  <si>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</si>
  <si>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</si>
  <si>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</si>
  <si>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</si>
  <si>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</si>
  <si>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</si>
  <si>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</si>
  <si>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</si>
  <si>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</si>
  <si>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</si>
  <si>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</si>
  <si>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</si>
  <si>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</si>
  <si>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</si>
  <si>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</si>
  <si>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</si>
  <si>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</si>
  <si>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</si>
  <si>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</si>
  <si>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</si>
  <si>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</si>
  <si>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</si>
  <si>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</si>
  <si>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</si>
  <si>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</si>
  <si>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</si>
  <si>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</si>
  <si>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</si>
  <si>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</si>
  <si>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</si>
  <si>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</si>
  <si>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</si>
  <si>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</si>
  <si>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</si>
  <si>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</si>
  <si>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</si>
  <si>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</si>
  <si>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</si>
  <si>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</si>
  <si>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</si>
  <si>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</si>
  <si>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</si>
  <si>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</si>
  <si>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</si>
  <si>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</si>
  <si>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</si>
  <si>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</si>
  <si>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</si>
  <si>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</si>
  <si>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</si>
  <si>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</si>
  <si>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</si>
  <si>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</si>
  <si>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</si>
  <si>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</si>
  <si>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</si>
  <si>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</si>
  <si>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</si>
  <si>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</si>
  <si>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</si>
  <si>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</si>
  <si>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</si>
  <si>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</si>
  <si>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</si>
  <si>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</si>
  <si>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</si>
  <si>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</si>
  <si>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</si>
  <si>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</si>
  <si>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</si>
  <si>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</si>
  <si>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</si>
  <si>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</si>
  <si>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</si>
  <si>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</si>
  <si>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</si>
  <si>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</si>
  <si>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</si>
  <si>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</si>
  <si>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</si>
  <si>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</si>
  <si>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</si>
  <si>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</si>
  <si>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</si>
  <si>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</si>
  <si>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</si>
  <si>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</si>
  <si>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</si>
  <si>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</si>
  <si>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</si>
  <si>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</si>
  <si>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</si>
  <si>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</si>
  <si>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</si>
  <si>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</si>
  <si>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</si>
  <si>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</si>
  <si>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</si>
  <si>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</si>
  <si>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</si>
  <si>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</si>
  <si>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</si>
  <si>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</si>
  <si>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</si>
  <si>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</si>
  <si>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</si>
  <si>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</si>
  <si>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</si>
  <si>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</si>
  <si>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</si>
  <si>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</si>
  <si>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</si>
  <si>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</si>
  <si>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</si>
  <si>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</si>
  <si>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</si>
  <si>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</si>
  <si>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</si>
  <si>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</si>
  <si>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</si>
  <si>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</si>
  <si>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</si>
  <si>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</si>
  <si>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</si>
  <si>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</si>
  <si>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</si>
  <si>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</si>
  <si>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</si>
  <si>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</si>
  <si>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</si>
  <si>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</si>
  <si>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</si>
  <si>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</si>
  <si>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</si>
  <si>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</si>
  <si>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</si>
  <si>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</si>
  <si>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</si>
  <si>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</si>
  <si>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</si>
  <si>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</si>
  <si>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</si>
  <si>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</si>
  <si>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</si>
  <si>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</si>
  <si>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</si>
  <si>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</si>
  <si>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</si>
  <si>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</si>
  <si>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</si>
  <si>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</si>
  <si>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</si>
  <si>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</si>
  <si>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</si>
  <si>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</si>
  <si>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</si>
  <si>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</si>
  <si>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</si>
  <si>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</si>
  <si>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</si>
  <si>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</si>
  <si>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</si>
  <si>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</si>
  <si>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</si>
  <si>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</si>
  <si>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</si>
  <si>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</si>
  <si>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</si>
  <si>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</si>
  <si>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</si>
  <si>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</si>
  <si>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</si>
  <si>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</si>
  <si>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</si>
  <si>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</si>
  <si>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</si>
  <si>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</si>
  <si>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</si>
  <si>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</si>
  <si>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</si>
  <si>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</si>
  <si>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</si>
  <si>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</si>
  <si>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</si>
  <si>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</si>
  <si>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</si>
  <si>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</si>
  <si>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</si>
  <si>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</si>
  <si>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</si>
  <si>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</si>
  <si>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</si>
  <si>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</si>
  <si>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</si>
  <si>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</si>
  <si>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</si>
  <si>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</si>
  <si>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</si>
  <si>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</si>
  <si>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</si>
  <si>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</si>
  <si>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</si>
  <si>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</si>
  <si>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</si>
  <si>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</si>
  <si>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</si>
  <si>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</si>
  <si>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</si>
  <si>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</si>
  <si>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</si>
  <si>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</si>
  <si>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</si>
  <si>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</si>
  <si>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</si>
  <si>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</si>
  <si>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</si>
  <si>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</si>
  <si>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</si>
  <si>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</si>
  <si>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</si>
  <si>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</si>
  <si>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</si>
  <si>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</si>
  <si>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</si>
  <si>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</si>
  <si>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</si>
  <si>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</si>
  <si>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</si>
  <si>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</si>
  <si>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</si>
  <si>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</si>
  <si>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</si>
  <si>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</si>
  <si>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</si>
  <si>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</si>
  <si>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</si>
  <si>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</si>
  <si>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</si>
  <si>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</si>
  <si>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</si>
  <si>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</si>
  <si>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</si>
  <si>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</si>
  <si>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</si>
  <si>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</si>
  <si>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</si>
  <si>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</si>
  <si>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</si>
  <si>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</si>
  <si>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</si>
  <si>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</si>
  <si>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</si>
  <si>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</si>
  <si>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</si>
  <si>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</si>
  <si>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</si>
  <si>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</si>
  <si>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</si>
  <si>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</si>
  <si>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</si>
  <si>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</si>
  <si>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</si>
  <si>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</si>
  <si>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</si>
  <si>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</si>
  <si>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</si>
  <si>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</si>
  <si>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</si>
  <si>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</si>
  <si>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</si>
  <si>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</si>
  <si>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</si>
  <si>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</si>
  <si>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</si>
  <si>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</si>
  <si>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</si>
  <si>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</si>
  <si>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</si>
  <si>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</si>
  <si>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</si>
  <si>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</si>
  <si>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</si>
  <si>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</si>
  <si>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</si>
  <si>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</si>
  <si>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</si>
  <si>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</si>
  <si>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</si>
  <si>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</si>
  <si>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</si>
  <si>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</si>
  <si>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</si>
  <si>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</si>
  <si>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</si>
  <si>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</si>
  <si>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</si>
  <si>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</si>
  <si>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</si>
  <si>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</si>
  <si>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</si>
  <si>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</si>
  <si>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</si>
  <si>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</si>
  <si>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</si>
  <si>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</si>
  <si>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</si>
  <si>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</si>
  <si>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</si>
  <si>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</si>
  <si>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</si>
  <si>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</si>
  <si>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</si>
  <si>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</si>
  <si>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</si>
  <si>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</si>
  <si>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</si>
  <si>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</si>
  <si>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</si>
  <si>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</si>
  <si>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</si>
  <si>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</si>
  <si>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</si>
  <si>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</si>
  <si>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</si>
  <si>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</si>
  <si>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</si>
  <si>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</si>
  <si>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</si>
  <si>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</si>
  <si>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</si>
  <si>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</si>
  <si>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</si>
  <si>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</si>
  <si>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</si>
  <si>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</si>
  <si>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</si>
  <si>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</si>
  <si>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</si>
  <si>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</si>
  <si>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</si>
  <si>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</si>
  <si>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</si>
  <si>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</si>
  <si>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</si>
  <si>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</si>
  <si>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</si>
  <si>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</si>
  <si>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</si>
  <si>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</si>
  <si>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</si>
  <si>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</si>
  <si>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</si>
  <si>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</si>
  <si>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</si>
  <si>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</si>
  <si>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</si>
  <si>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</si>
  <si>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</si>
  <si>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</si>
  <si>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</si>
  <si>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</si>
  <si>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</si>
  <si>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</si>
  <si>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</si>
  <si>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</si>
  <si>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</si>
  <si>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</si>
  <si>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</si>
  <si>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</si>
  <si>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</si>
  <si>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</si>
  <si>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</si>
  <si>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</si>
  <si>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</si>
  <si>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</si>
  <si>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</si>
  <si>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</si>
  <si>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</si>
  <si>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</si>
  <si>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</si>
  <si>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</si>
  <si>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</si>
  <si>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</si>
  <si>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</si>
  <si>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</si>
  <si>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</si>
  <si>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</si>
  <si>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</si>
  <si>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</si>
  <si>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</si>
  <si>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</si>
  <si>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</si>
  <si>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</si>
  <si>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</si>
  <si>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</si>
  <si>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</si>
  <si>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</si>
  <si>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</si>
  <si>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</si>
  <si>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</si>
  <si>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</si>
  <si>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</si>
  <si>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</si>
  <si>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</si>
  <si>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</si>
  <si>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</si>
  <si>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</si>
  <si>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</si>
  <si>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</si>
  <si>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</si>
  <si>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</si>
  <si>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</si>
  <si>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</si>
  <si>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</si>
  <si>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</si>
  <si>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</si>
  <si>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</si>
  <si>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</si>
  <si>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</si>
  <si>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</si>
  <si>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</si>
  <si>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</si>
  <si>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</si>
  <si>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</si>
  <si>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</si>
  <si>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</si>
  <si>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</si>
  <si>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</si>
  <si>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</si>
  <si>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</si>
  <si>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</si>
  <si>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</si>
  <si>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</si>
  <si>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</si>
  <si>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</si>
  <si>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</si>
  <si>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</si>
  <si>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</si>
  <si>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</si>
  <si>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</si>
  <si>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</si>
  <si>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</si>
  <si>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</si>
  <si>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</si>
  <si>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</si>
  <si>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</si>
  <si>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</si>
  <si>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</si>
  <si>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</si>
  <si>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</si>
  <si>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</si>
  <si>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</si>
  <si>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</si>
  <si>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</si>
  <si>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</si>
  <si>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</si>
  <si>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</si>
  <si>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</si>
  <si>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</si>
  <si>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</si>
  <si>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</si>
  <si>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</si>
  <si>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</si>
  <si>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</si>
  <si>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</si>
  <si>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</si>
  <si>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</si>
  <si>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</si>
  <si>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</si>
  <si>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</si>
  <si>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</si>
  <si>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</si>
  <si>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</si>
  <si>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</si>
  <si>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</si>
  <si>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</si>
  <si>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</si>
  <si>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</si>
  <si>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</si>
  <si>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</si>
  <si>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</si>
  <si>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</si>
  <si>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</si>
  <si>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</si>
  <si>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</si>
  <si>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</si>
  <si>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</si>
  <si>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</si>
  <si>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</si>
  <si>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</si>
  <si>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</si>
  <si>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</si>
  <si>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</si>
  <si>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</si>
  <si>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</si>
  <si>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</si>
  <si>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</si>
  <si>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</si>
  <si>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</si>
  <si>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</si>
  <si>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</si>
  <si>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</si>
  <si>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</si>
  <si>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</si>
  <si>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</si>
  <si>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</si>
  <si>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</si>
  <si>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</si>
  <si>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</si>
  <si>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</si>
  <si>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</si>
  <si>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</si>
  <si>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</si>
  <si>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</si>
  <si>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</si>
  <si>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</si>
  <si>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</si>
  <si>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</si>
  <si>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</si>
  <si>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</si>
  <si>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</si>
  <si>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</si>
  <si>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</si>
  <si>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</si>
  <si>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</si>
  <si>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</si>
  <si>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</si>
  <si>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</si>
  <si>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</si>
  <si>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</si>
  <si>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</si>
  <si>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</si>
  <si>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</si>
  <si>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</si>
  <si>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</si>
  <si>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</si>
  <si>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</si>
  <si>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</si>
  <si>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</si>
  <si>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</si>
  <si>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</si>
  <si>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</si>
  <si>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</si>
  <si>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</si>
  <si>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</si>
  <si>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</si>
  <si>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</si>
  <si>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</si>
  <si>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</si>
  <si>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</si>
  <si>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</si>
  <si>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</si>
  <si>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</si>
  <si>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</si>
  <si>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</si>
  <si>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</si>
  <si>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</si>
  <si>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</si>
  <si>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</si>
  <si>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</si>
  <si>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</si>
  <si>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</si>
  <si>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</si>
  <si>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</si>
  <si>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</si>
  <si>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</si>
  <si>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</si>
  <si>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</si>
  <si>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</si>
  <si>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</si>
  <si>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</si>
  <si>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</si>
  <si>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</si>
  <si>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</si>
  <si>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</si>
  <si>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</si>
  <si>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</si>
  <si>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</si>
  <si>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</si>
  <si>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</si>
  <si>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</si>
  <si>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</si>
  <si>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</si>
  <si>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</si>
  <si>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</si>
  <si>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</si>
  <si>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</si>
  <si>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</si>
  <si>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</si>
  <si>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</si>
  <si>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</si>
  <si>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</si>
  <si>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</si>
  <si>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</si>
  <si>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</si>
  <si>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</si>
  <si>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</si>
  <si>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</si>
  <si>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</si>
  <si>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</si>
  <si>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</si>
  <si>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</si>
  <si>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</si>
  <si>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</si>
  <si>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</si>
  <si>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</si>
  <si>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</si>
  <si>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</si>
  <si>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</si>
  <si>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</si>
  <si>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</si>
  <si>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</si>
  <si>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</si>
  <si>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</si>
  <si>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</si>
  <si>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</si>
  <si>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</si>
  <si>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</si>
  <si>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</si>
  <si>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</si>
  <si>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</si>
  <si>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</si>
  <si>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</si>
  <si>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</si>
  <si>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</si>
  <si>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</si>
  <si>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</si>
  <si>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</si>
  <si>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</si>
  <si>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</si>
  <si>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</si>
  <si>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</si>
  <si>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</si>
  <si>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</si>
  <si>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</si>
  <si>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</si>
  <si>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</si>
  <si>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</si>
  <si>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</si>
  <si>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</si>
  <si>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</si>
  <si>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</si>
  <si>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</si>
  <si>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</si>
  <si>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</si>
  <si>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</si>
  <si>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</si>
  <si>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</si>
  <si>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</si>
  <si>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</si>
  <si>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</si>
  <si>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</si>
  <si>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</si>
  <si>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</si>
  <si>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</si>
  <si>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</si>
  <si>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</si>
  <si>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</si>
  <si>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</si>
  <si>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</si>
  <si>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</si>
  <si>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</si>
  <si>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</si>
  <si>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</si>
  <si>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</si>
  <si>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</si>
  <si>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</si>
  <si>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</si>
  <si>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</si>
  <si>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</si>
  <si>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</si>
  <si>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</si>
  <si>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</si>
  <si>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</si>
  <si>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</si>
  <si>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</si>
  <si>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</si>
  <si>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</si>
  <si>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</si>
  <si>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</si>
  <si>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</si>
  <si>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</si>
  <si>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</si>
  <si>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</si>
  <si>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</si>
  <si>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</si>
  <si>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</si>
  <si>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</si>
  <si>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</si>
  <si>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</si>
  <si>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</si>
  <si>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</si>
  <si>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</si>
  <si>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</si>
  <si>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</si>
  <si>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</si>
  <si>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</si>
  <si>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</si>
  <si>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</si>
  <si>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</si>
  <si>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</si>
  <si>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</si>
  <si>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</si>
  <si>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</si>
  <si>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</si>
  <si>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</si>
  <si>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</si>
  <si>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</si>
  <si>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</si>
  <si>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</si>
  <si>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</si>
  <si>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</si>
  <si>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</si>
  <si>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</si>
  <si>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</si>
  <si>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</si>
  <si>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</si>
  <si>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</si>
  <si>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</si>
  <si>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</si>
  <si>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</si>
  <si>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</si>
  <si>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</si>
  <si>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</si>
  <si>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</si>
  <si>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</si>
  <si>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</si>
  <si>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</si>
  <si>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</si>
  <si>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</si>
  <si>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</si>
  <si>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</si>
  <si>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</si>
  <si>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</si>
  <si>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</si>
  <si>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</si>
  <si>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</si>
  <si>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</si>
  <si>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</si>
  <si>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</si>
  <si>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</si>
  <si>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</si>
  <si>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</si>
  <si>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</si>
  <si>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</si>
  <si>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</si>
  <si>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</si>
  <si>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</si>
  <si>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</si>
  <si>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</si>
  <si>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</si>
  <si>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</si>
  <si>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</si>
  <si>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</si>
  <si>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</si>
  <si>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</si>
  <si>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</si>
  <si>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</si>
  <si>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</si>
  <si>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</si>
  <si>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</si>
  <si>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</si>
  <si>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</si>
  <si>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</si>
  <si>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</si>
  <si>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</si>
  <si>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</si>
  <si>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</si>
  <si>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</si>
  <si>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</si>
  <si>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</si>
  <si>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</si>
  <si>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</si>
  <si>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</si>
  <si>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</si>
  <si>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</si>
  <si>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</si>
  <si>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</si>
  <si>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</si>
  <si>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</si>
  <si>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</si>
  <si>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</si>
  <si>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</si>
  <si>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</si>
  <si>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</si>
  <si>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</si>
  <si>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</si>
  <si>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</si>
  <si>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</si>
  <si>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</si>
  <si>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</si>
  <si>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</si>
  <si>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</si>
  <si>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</si>
  <si>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</si>
  <si>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</si>
  <si>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</si>
  <si>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</si>
  <si>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</si>
  <si>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</si>
  <si>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</si>
  <si>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</si>
  <si>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</si>
  <si>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</si>
  <si>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</si>
  <si>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</si>
  <si>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</si>
  <si>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</si>
  <si>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</si>
  <si>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</si>
  <si>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</si>
  <si>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</si>
  <si>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</si>
  <si>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</si>
  <si>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</si>
  <si>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</si>
  <si>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</si>
  <si>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</si>
  <si>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</si>
  <si>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</si>
  <si>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</si>
  <si>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</si>
  <si>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</si>
  <si>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</si>
  <si>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</si>
  <si>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</si>
  <si>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</si>
  <si>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</si>
  <si>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</si>
  <si>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</si>
  <si>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</si>
  <si>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</si>
  <si>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</si>
  <si>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</si>
  <si>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</si>
  <si>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</si>
  <si>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</si>
  <si>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</si>
  <si>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</si>
  <si>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</si>
  <si>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</si>
  <si>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</si>
  <si>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</si>
  <si>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</si>
  <si>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</si>
  <si>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</si>
  <si>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</si>
  <si>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</si>
  <si>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</si>
  <si>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</si>
  <si>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</si>
  <si>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</si>
  <si>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</si>
  <si>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</si>
  <si>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</si>
  <si>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</si>
  <si>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</si>
  <si>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</si>
  <si>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</si>
  <si>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</si>
  <si>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</si>
  <si>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</si>
  <si>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</si>
  <si>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</si>
  <si>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</si>
  <si>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</si>
  <si>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</si>
  <si>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</si>
  <si>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</si>
  <si>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</si>
  <si>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</si>
  <si>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</si>
  <si>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</si>
  <si>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</si>
  <si>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</si>
  <si>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</si>
  <si>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</si>
  <si>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</si>
  <si>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</si>
  <si>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</si>
  <si>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</si>
  <si>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</si>
  <si>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</si>
  <si>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</si>
  <si>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</si>
  <si>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</si>
  <si>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</si>
  <si>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</si>
  <si>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</si>
  <si>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</si>
  <si>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</si>
  <si>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</si>
  <si>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</si>
  <si>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</si>
  <si>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</si>
  <si>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</si>
  <si>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</si>
  <si>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</si>
  <si>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</si>
  <si>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</si>
  <si>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</si>
  <si>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</si>
  <si>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</si>
  <si>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</si>
  <si>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</si>
  <si>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</si>
  <si>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</si>
  <si>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</si>
  <si>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</si>
  <si>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</si>
  <si>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</si>
  <si>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</si>
  <si>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</si>
  <si>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</si>
  <si>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</si>
  <si>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</si>
  <si>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</si>
  <si>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</si>
  <si>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</si>
  <si>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</si>
  <si>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</si>
  <si>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</si>
  <si>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</si>
  <si>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</si>
  <si>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</si>
  <si>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</si>
  <si>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</si>
  <si>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</si>
  <si>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</si>
  <si>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</si>
  <si>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</si>
  <si>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</si>
  <si>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</si>
  <si>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</si>
  <si>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</si>
  <si>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</si>
  <si>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</si>
  <si>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</si>
  <si>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</si>
  <si>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</si>
  <si>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</si>
  <si>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</si>
  <si>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</si>
  <si>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</si>
  <si>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</si>
  <si>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</si>
  <si>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</si>
  <si>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</si>
  <si>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</si>
  <si>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</si>
  <si>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</si>
  <si>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</si>
  <si>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</si>
  <si>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</si>
  <si>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</si>
  <si>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</si>
  <si>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</si>
  <si>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</si>
  <si>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</si>
  <si>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</si>
  <si>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</si>
  <si>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</si>
  <si>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</si>
  <si>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</si>
  <si>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</si>
  <si>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</si>
  <si>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</si>
  <si>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</si>
  <si>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</si>
  <si>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</si>
  <si>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</si>
  <si>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</si>
  <si>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</si>
  <si>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</si>
  <si>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</si>
  <si>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</si>
  <si>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</si>
  <si>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</si>
  <si>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</si>
  <si>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</si>
  <si>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</si>
  <si>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</si>
  <si>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</si>
  <si>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</si>
  <si>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</si>
  <si>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</si>
  <si>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</si>
  <si>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</si>
  <si>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</si>
  <si>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</si>
  <si>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</si>
  <si>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</si>
  <si>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</si>
  <si>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</si>
  <si>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</si>
  <si>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</si>
  <si>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</si>
  <si>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</si>
  <si>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</si>
  <si>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</si>
  <si>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</si>
  <si>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</si>
  <si>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</si>
  <si>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</si>
  <si>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</si>
  <si>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</si>
  <si>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</si>
  <si>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</si>
  <si>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</si>
  <si>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</si>
  <si>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</si>
  <si>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</si>
  <si>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</si>
  <si>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</si>
  <si>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</si>
  <si>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</si>
  <si>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</si>
  <si>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</si>
  <si>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</si>
  <si>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</si>
  <si>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</si>
  <si>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</si>
  <si>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</si>
  <si>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</si>
  <si>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</si>
  <si>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</si>
  <si>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</si>
  <si>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</si>
  <si>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</si>
  <si>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</si>
  <si>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</si>
  <si>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</si>
  <si>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</si>
  <si>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</si>
  <si>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</si>
  <si>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</si>
  <si>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</si>
  <si>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</si>
  <si>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</si>
  <si>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</si>
  <si>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</si>
  <si>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</si>
  <si>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</si>
  <si>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</si>
  <si>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</si>
  <si>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</si>
  <si>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</si>
  <si>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</si>
  <si>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</si>
  <si>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</si>
  <si>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</si>
  <si>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</si>
  <si>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</si>
  <si>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</si>
  <si>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</si>
  <si>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</si>
  <si>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</si>
  <si>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</si>
  <si>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</si>
  <si>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</si>
  <si>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</si>
  <si>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</si>
  <si>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</si>
  <si>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</si>
  <si>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</si>
  <si>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</si>
  <si>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</si>
  <si>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</si>
  <si>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</si>
  <si>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</si>
  <si>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</si>
  <si>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</si>
  <si>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</si>
  <si>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</si>
  <si>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</si>
  <si>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</si>
  <si>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</si>
  <si>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</si>
  <si>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</si>
  <si>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</si>
  <si>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</si>
  <si>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</si>
  <si>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</si>
  <si>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</si>
  <si>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</si>
  <si>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</si>
  <si>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</si>
  <si>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</si>
  <si>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</si>
  <si>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</si>
  <si>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</si>
  <si>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</si>
  <si>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</si>
  <si>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</si>
  <si>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</si>
  <si>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</si>
  <si>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</si>
  <si>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</si>
  <si>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</si>
  <si>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</si>
  <si>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</si>
  <si>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</si>
  <si>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</si>
  <si>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</si>
  <si>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</si>
  <si>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</si>
  <si>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</si>
  <si>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</si>
  <si>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</si>
  <si>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</si>
  <si>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</si>
  <si>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</si>
  <si>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</si>
  <si>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</si>
  <si>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</si>
  <si>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</si>
  <si>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</si>
  <si>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</si>
  <si>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</si>
  <si>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</si>
  <si>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</si>
  <si>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</si>
  <si>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</si>
  <si>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</si>
  <si>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</si>
  <si>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</si>
  <si>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</si>
  <si>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</si>
  <si>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</si>
  <si>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</si>
  <si>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</si>
  <si>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</si>
  <si>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</si>
  <si>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</si>
  <si>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</si>
  <si>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</si>
  <si>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</si>
  <si>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</si>
  <si>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</si>
  <si>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</si>
  <si>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</si>
  <si>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</si>
  <si>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</si>
  <si>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</si>
  <si>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</si>
  <si>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</si>
  <si>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</si>
  <si>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</si>
  <si>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</si>
  <si>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</si>
  <si>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</si>
  <si>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</si>
  <si>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</si>
  <si>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</si>
  <si>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</si>
  <si>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</si>
  <si>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</si>
  <si>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</si>
  <si>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</si>
  <si>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</si>
  <si>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</si>
  <si>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</si>
  <si>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</si>
  <si>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</si>
  <si>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</si>
  <si>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</si>
  <si>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</si>
  <si>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</si>
  <si>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</si>
  <si>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</si>
  <si>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</si>
  <si>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</si>
  <si>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</si>
  <si>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</si>
  <si>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</si>
  <si>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</si>
  <si>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</si>
  <si>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</si>
  <si>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</si>
  <si>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</si>
  <si>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</si>
  <si>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</si>
  <si>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</si>
  <si>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</si>
  <si>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</si>
  <si>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</si>
  <si>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</si>
  <si>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</si>
  <si>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</si>
  <si>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</si>
  <si>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</si>
  <si>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</si>
  <si>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</si>
  <si>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</si>
  <si>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</si>
  <si>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</si>
  <si>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</si>
  <si>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</si>
  <si>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</si>
  <si>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</si>
  <si>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</si>
  <si>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</si>
  <si>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</si>
  <si>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</si>
  <si>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</si>
  <si>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</si>
  <si>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</si>
  <si>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</si>
  <si>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</si>
  <si>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</si>
  <si>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</si>
  <si>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</si>
  <si>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</si>
  <si>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</si>
  <si>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</si>
  <si>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</si>
  <si>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</si>
  <si>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</si>
  <si>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</si>
  <si>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</si>
  <si>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</si>
  <si>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</si>
  <si>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</si>
  <si>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</si>
  <si>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</si>
  <si>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</si>
  <si>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</si>
  <si>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</si>
  <si>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</si>
  <si>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</si>
  <si>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</si>
  <si>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</si>
  <si>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</si>
  <si>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</si>
  <si>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</si>
  <si>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</si>
  <si>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</si>
  <si>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</si>
  <si>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</si>
  <si>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</si>
  <si>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</si>
  <si>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</si>
  <si>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</si>
  <si>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</si>
  <si>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</si>
  <si>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</si>
  <si>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</si>
  <si>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</si>
  <si>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</si>
  <si>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</si>
  <si>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</si>
  <si>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</si>
  <si>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</si>
  <si>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</si>
  <si>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</si>
  <si>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</si>
  <si>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</si>
  <si>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</si>
  <si>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</si>
  <si>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</si>
  <si>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</si>
  <si>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</si>
  <si>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</si>
  <si>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</si>
  <si>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</si>
  <si>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</si>
  <si>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</si>
  <si>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</si>
  <si>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</si>
  <si>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</si>
  <si>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</si>
  <si>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</si>
  <si>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</si>
  <si>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</si>
  <si>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</si>
  <si>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</si>
  <si>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</si>
  <si>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</si>
  <si>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</si>
  <si>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</si>
  <si>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</si>
  <si>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</si>
  <si>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</si>
  <si>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</si>
  <si>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</si>
  <si>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</si>
  <si>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</si>
  <si>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</si>
  <si>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</si>
  <si>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</si>
  <si>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</si>
  <si>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</si>
  <si>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</si>
  <si>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</si>
  <si>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</si>
  <si>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</si>
  <si>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</si>
  <si>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</si>
  <si>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</si>
  <si>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</si>
  <si>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</si>
  <si>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</si>
  <si>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</si>
  <si>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</si>
  <si>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</si>
  <si>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</si>
  <si>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</si>
  <si>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</si>
  <si>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</si>
  <si>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</si>
  <si>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</si>
  <si>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</si>
  <si>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</si>
  <si>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</si>
  <si>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</si>
  <si>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</si>
  <si>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</si>
  <si>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</si>
  <si>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</si>
  <si>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</si>
  <si>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</si>
  <si>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</si>
  <si>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</si>
  <si>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</si>
  <si>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</si>
  <si>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</si>
  <si>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</si>
  <si>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</si>
  <si>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</si>
  <si>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</si>
  <si>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</si>
  <si>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</si>
  <si>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</si>
  <si>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</si>
  <si>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</si>
  <si>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</si>
  <si>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</si>
  <si>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</si>
  <si>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</si>
  <si>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</si>
  <si>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</si>
  <si>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</si>
  <si>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</si>
  <si>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</si>
  <si>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</si>
  <si>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</si>
  <si>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</si>
  <si>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</si>
  <si>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</si>
  <si>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</si>
  <si>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</si>
  <si>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</si>
  <si>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</si>
  <si>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</si>
  <si>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</si>
  <si>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</si>
  <si>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</si>
  <si>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</si>
  <si>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</si>
  <si>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</si>
  <si>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</si>
  <si>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</si>
  <si>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</si>
  <si>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</si>
  <si>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</si>
  <si>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</si>
  <si>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</si>
  <si>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</si>
  <si>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</si>
  <si>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</si>
  <si>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</si>
  <si>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</si>
  <si>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</si>
  <si>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</si>
  <si>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</si>
  <si>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</si>
  <si>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</si>
  <si>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</si>
  <si>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</si>
  <si>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</si>
  <si>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</si>
  <si>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</si>
  <si>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</si>
  <si>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</si>
  <si>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</si>
  <si>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</si>
  <si>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</si>
  <si>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</si>
  <si>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</si>
  <si>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</si>
  <si>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</si>
  <si>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</si>
  <si>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</si>
  <si>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</si>
  <si>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</si>
  <si>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</si>
  <si>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</si>
  <si>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</si>
  <si>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</si>
  <si>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</si>
  <si>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</si>
  <si>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</si>
  <si>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</si>
  <si>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</si>
  <si>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</si>
  <si>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</si>
  <si>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</si>
  <si>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</si>
  <si>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</si>
  <si>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</si>
  <si>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</si>
  <si>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</si>
  <si>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</si>
  <si>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</si>
  <si>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</si>
  <si>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</si>
  <si>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</si>
  <si>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</si>
  <si>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</si>
  <si>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</si>
  <si>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</si>
  <si>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</si>
  <si>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</si>
  <si>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</si>
  <si>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</si>
  <si>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</si>
  <si>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</si>
  <si>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</si>
  <si>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</si>
  <si>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</si>
  <si>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</si>
  <si>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</si>
  <si>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</si>
  <si>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</si>
  <si>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</si>
  <si>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</si>
  <si>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</si>
  <si>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</si>
  <si>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</si>
  <si>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</si>
  <si>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</si>
  <si>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</si>
  <si>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</si>
  <si>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</si>
  <si>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</si>
  <si>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</si>
  <si>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</si>
  <si>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</si>
  <si>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</si>
  <si>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</si>
  <si>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</si>
  <si>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</si>
  <si>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</si>
  <si>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</si>
  <si>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</si>
  <si>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</si>
  <si>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</si>
  <si>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</si>
  <si>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</si>
  <si>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</si>
  <si>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</si>
  <si>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</si>
  <si>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</si>
  <si>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</si>
  <si>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</si>
  <si>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</si>
  <si>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</si>
  <si>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</si>
  <si>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</si>
  <si>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</si>
  <si>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</si>
  <si>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</si>
  <si>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</si>
  <si>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</si>
  <si>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</si>
  <si>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</si>
  <si>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</si>
  <si>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</si>
  <si>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</si>
  <si>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</si>
  <si>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</si>
  <si>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</si>
  <si>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</si>
  <si>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</si>
  <si>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</si>
  <si>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</si>
  <si>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</si>
  <si>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</si>
  <si>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</si>
  <si>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</si>
  <si>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</si>
  <si>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</si>
  <si>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</si>
  <si>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</si>
  <si>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</si>
  <si>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</si>
  <si>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</si>
  <si>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</si>
  <si>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</si>
  <si>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</si>
  <si>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</si>
  <si>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</si>
  <si>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</si>
  <si>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</si>
  <si>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</si>
  <si>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</si>
  <si>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</si>
  <si>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</si>
  <si>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</si>
  <si>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</si>
  <si>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</si>
  <si>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</si>
  <si>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</si>
  <si>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</si>
  <si>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</si>
  <si>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</si>
  <si>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</si>
  <si>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</si>
  <si>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</si>
  <si>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</si>
  <si>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</si>
  <si>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</si>
  <si>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</si>
  <si>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</si>
  <si>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</si>
  <si>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</si>
  <si>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</si>
  <si>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</si>
  <si>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</si>
  <si>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</si>
  <si>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</si>
  <si>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</si>
  <si>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</si>
  <si>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</si>
  <si>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</si>
  <si>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</si>
  <si>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</si>
  <si>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</si>
  <si>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</si>
  <si>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</si>
  <si>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</si>
  <si>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</si>
  <si>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</si>
  <si>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</si>
  <si>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</si>
  <si>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</si>
  <si>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</si>
  <si>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</si>
  <si>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</si>
  <si>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</si>
  <si>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</si>
  <si>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</si>
  <si>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</si>
  <si>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</si>
  <si>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</si>
  <si>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</si>
  <si>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</si>
  <si>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</si>
  <si>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</si>
  <si>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</si>
  <si>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</si>
  <si>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</si>
  <si>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</si>
  <si>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</si>
  <si>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</si>
  <si>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</si>
  <si>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</si>
  <si>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</si>
  <si>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</si>
  <si>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</si>
  <si>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</si>
  <si>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</si>
  <si>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</si>
  <si>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</si>
  <si>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</si>
  <si>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</si>
  <si>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</si>
  <si>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</si>
  <si>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</si>
  <si>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</si>
  <si>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</si>
  <si>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</si>
  <si>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</si>
  <si>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</si>
  <si>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</si>
  <si>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</si>
  <si>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</si>
  <si>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</si>
  <si>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</si>
  <si>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</si>
  <si>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</si>
  <si>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</si>
  <si>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</si>
  <si>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</si>
  <si>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</si>
  <si>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</si>
  <si>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</si>
  <si>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</si>
  <si>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</si>
  <si>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</si>
  <si>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</si>
  <si>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</si>
  <si>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</si>
  <si>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</si>
  <si>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</si>
  <si>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</si>
  <si>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</si>
  <si>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</si>
  <si>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</si>
  <si>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</si>
  <si>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</si>
  <si>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</si>
  <si>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</si>
  <si>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</si>
  <si>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</si>
  <si>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</si>
  <si>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</si>
  <si>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</si>
  <si>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</si>
  <si>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</si>
  <si>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</si>
  <si>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</si>
  <si>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</si>
  <si>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</si>
  <si>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</si>
  <si>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</si>
  <si>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</si>
  <si>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</si>
  <si>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</si>
  <si>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</si>
  <si>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</si>
  <si>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</si>
  <si>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</si>
  <si>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</si>
  <si>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</si>
  <si>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</si>
  <si>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</si>
  <si>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</si>
  <si>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</si>
  <si>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</si>
  <si>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</si>
  <si>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</si>
  <si>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</si>
  <si>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</si>
  <si>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</si>
  <si>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</si>
  <si>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</si>
  <si>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</si>
  <si>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</si>
  <si>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</si>
  <si>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</si>
  <si>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</si>
  <si>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</si>
  <si>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</si>
  <si>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</si>
  <si>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</si>
  <si>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</si>
  <si>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</si>
  <si>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</si>
  <si>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</si>
  <si>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</si>
  <si>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</si>
  <si>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</si>
  <si>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</si>
  <si>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</si>
  <si>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</si>
  <si>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</si>
  <si>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</si>
  <si>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</si>
  <si>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</si>
  <si>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</si>
  <si>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</si>
  <si>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</si>
  <si>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</si>
  <si>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</si>
  <si>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</si>
  <si>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</si>
  <si>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</si>
  <si>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</si>
  <si>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</si>
  <si>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</si>
  <si>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</si>
  <si>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</si>
  <si>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</si>
  <si>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</si>
  <si>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</si>
  <si>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</si>
  <si>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</si>
  <si>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</si>
  <si>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</si>
  <si>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</si>
  <si>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</si>
  <si>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</si>
  <si>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</si>
  <si>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</si>
  <si>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</si>
  <si>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</si>
  <si>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</si>
  <si>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</si>
  <si>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</si>
  <si>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</si>
  <si>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</si>
  <si>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</si>
  <si>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</si>
  <si>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</si>
  <si>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</si>
  <si>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</si>
  <si>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</si>
  <si>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</si>
  <si>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</si>
  <si>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</si>
  <si>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</si>
  <si>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</si>
  <si>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</si>
  <si>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</si>
  <si>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</si>
  <si>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</si>
  <si>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</si>
  <si>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</si>
  <si>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</si>
  <si>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</si>
  <si>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</si>
  <si>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</si>
  <si>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</si>
  <si>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</si>
  <si>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</si>
  <si>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</si>
  <si>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</si>
  <si>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</si>
  <si>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</si>
  <si>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</si>
  <si>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</si>
  <si>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</si>
  <si>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</si>
  <si>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</si>
  <si>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</si>
  <si>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</si>
  <si>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</si>
  <si>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</si>
  <si>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</si>
  <si>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</si>
  <si>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</si>
  <si>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</si>
  <si>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</si>
  <si>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</si>
  <si>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</si>
  <si>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</si>
  <si>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</si>
  <si>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</si>
  <si>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</si>
  <si>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</si>
  <si>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</si>
  <si>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</si>
  <si>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</si>
  <si>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</si>
  <si>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</si>
  <si>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</si>
  <si>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</si>
  <si>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</si>
  <si>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</si>
  <si>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</si>
  <si>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</si>
  <si>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</si>
  <si>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</si>
  <si>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</si>
  <si>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</si>
  <si>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</si>
  <si>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</si>
  <si>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</si>
  <si>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</si>
  <si>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</si>
  <si>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</si>
  <si>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</si>
  <si>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</si>
  <si>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</si>
  <si>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</si>
  <si>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</si>
  <si>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</si>
  <si>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</si>
  <si>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</si>
  <si>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</si>
  <si>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</si>
  <si>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</si>
  <si>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</si>
  <si>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</si>
  <si>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</si>
  <si>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</si>
  <si>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</si>
  <si>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</si>
  <si>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</si>
  <si>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</si>
  <si>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</si>
  <si>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</si>
  <si>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</si>
  <si>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</si>
  <si>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</si>
  <si>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</si>
  <si>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</si>
  <si>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</si>
  <si>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</si>
  <si>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</si>
  <si>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</si>
  <si>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</si>
  <si>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</si>
  <si>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</si>
  <si>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</si>
  <si>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</si>
  <si>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</si>
  <si>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</si>
  <si>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</si>
  <si>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</si>
  <si>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</si>
  <si>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</si>
  <si>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</si>
  <si>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</si>
  <si>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</si>
  <si>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</si>
  <si>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</si>
  <si>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</si>
  <si>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</si>
  <si>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</si>
  <si>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</si>
  <si>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</si>
  <si>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</si>
  <si>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</si>
  <si>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</si>
  <si>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</si>
  <si>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</si>
  <si>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</si>
  <si>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</si>
  <si>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</si>
  <si>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</si>
  <si>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</si>
  <si>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</si>
  <si>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</si>
  <si>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</si>
  <si>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</si>
  <si>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</si>
  <si>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</si>
  <si>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</si>
  <si>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</si>
  <si>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</si>
  <si>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</si>
  <si>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</si>
  <si>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</si>
  <si>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</si>
  <si>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</si>
  <si>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</si>
  <si>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</si>
  <si>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</si>
  <si>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</si>
  <si>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</si>
  <si>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</si>
  <si>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</si>
  <si>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</si>
  <si>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</si>
  <si>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</si>
  <si>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</si>
  <si>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</si>
  <si>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</si>
  <si>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</si>
  <si>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</si>
  <si>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</si>
  <si>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</si>
  <si>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</si>
  <si>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</si>
  <si>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</si>
  <si>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</si>
  <si>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</si>
  <si>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</si>
  <si>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</si>
  <si>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</si>
  <si>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</si>
  <si>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</si>
  <si>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</si>
  <si>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</si>
  <si>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</si>
  <si>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</si>
  <si>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</si>
  <si>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</si>
  <si>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</si>
  <si>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</si>
  <si>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</si>
  <si>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</si>
  <si>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</si>
  <si>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</si>
  <si>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</si>
  <si>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</si>
  <si>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</si>
  <si>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</si>
  <si>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</si>
  <si>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</si>
  <si>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</si>
  <si>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</si>
  <si>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</si>
  <si>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</si>
  <si>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</si>
  <si>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</si>
  <si>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</si>
  <si>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</si>
  <si>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</si>
  <si>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</si>
  <si>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</si>
  <si>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</si>
  <si>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</si>
  <si>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</si>
  <si>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</si>
  <si>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</si>
  <si>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</si>
  <si>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</si>
  <si>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</si>
  <si>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</si>
  <si>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</si>
  <si>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</si>
  <si>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</si>
  <si>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</si>
  <si>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</si>
  <si>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</si>
  <si>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</si>
  <si>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</si>
  <si>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</si>
  <si>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</si>
  <si>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</si>
  <si>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</si>
  <si>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</si>
  <si>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</si>
  <si>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</si>
  <si>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</si>
  <si>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</si>
  <si>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</si>
  <si>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</si>
  <si>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</si>
  <si>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</si>
  <si>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</si>
  <si>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</si>
  <si>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</si>
  <si>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</si>
  <si>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</si>
  <si>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</si>
  <si>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</si>
  <si>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</si>
  <si>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</si>
  <si>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</si>
  <si>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</si>
  <si>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</si>
  <si>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</si>
  <si>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</si>
  <si>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</si>
  <si>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</si>
  <si>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</si>
  <si>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</si>
  <si>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</si>
  <si>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</si>
  <si>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</si>
  <si>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</si>
  <si>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</si>
  <si>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</si>
  <si>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</si>
  <si>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</si>
  <si>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</si>
  <si>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</si>
  <si>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</si>
  <si>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</si>
  <si>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</si>
  <si>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</si>
  <si>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</si>
  <si>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</si>
  <si>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</si>
  <si>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</si>
  <si>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</si>
  <si>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</si>
  <si>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</si>
  <si>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</si>
  <si>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</si>
  <si>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</si>
  <si>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</si>
  <si>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</si>
  <si>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</si>
  <si>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</si>
  <si>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</si>
  <si>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</si>
  <si>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</si>
  <si>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</si>
  <si>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</si>
  <si>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</si>
  <si>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</si>
  <si>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</si>
  <si>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</si>
  <si>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</si>
  <si>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</si>
  <si>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</si>
  <si>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</si>
  <si>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</si>
  <si>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</si>
  <si>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</si>
  <si>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</si>
  <si>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</si>
  <si>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</si>
  <si>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</si>
  <si>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</si>
  <si>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</si>
  <si>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</si>
  <si>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</si>
  <si>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</si>
  <si>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</si>
  <si>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</si>
  <si>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</si>
  <si>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</si>
  <si>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</si>
  <si>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</si>
  <si>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</si>
  <si>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</si>
  <si>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</si>
  <si>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</si>
  <si>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</si>
  <si>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</si>
  <si>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</si>
  <si>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</si>
  <si>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</si>
  <si>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</si>
  <si>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</si>
  <si>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</si>
  <si>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</si>
  <si>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</si>
  <si>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</si>
  <si>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</si>
  <si>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</si>
  <si>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</si>
  <si>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</si>
  <si>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</si>
  <si>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</si>
  <si>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</si>
  <si>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</si>
  <si>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</si>
  <si>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</si>
  <si>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</si>
  <si>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</si>
  <si>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</si>
  <si>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</si>
  <si>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</si>
  <si>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</si>
  <si>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</si>
  <si>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</si>
  <si>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</si>
  <si>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</si>
  <si>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</si>
  <si>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</si>
  <si>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</si>
  <si>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</si>
  <si>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</si>
  <si>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</si>
  <si>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</si>
  <si>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</si>
  <si>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</si>
  <si>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</si>
  <si>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</si>
  <si>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</si>
  <si>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</si>
  <si>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</si>
  <si>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</si>
  <si>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</si>
  <si>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</si>
  <si>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</si>
  <si>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</si>
  <si>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</si>
  <si>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</si>
  <si>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</si>
  <si>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</si>
  <si>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</si>
  <si>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</si>
  <si>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</si>
  <si>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</si>
  <si>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</si>
  <si>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</si>
  <si>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</si>
  <si>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</si>
  <si>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</si>
  <si>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</si>
  <si>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</si>
  <si>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</si>
  <si>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</si>
  <si>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</si>
  <si>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</si>
  <si>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</si>
  <si>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</si>
  <si>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101</t>
  </si>
  <si>
    <t>102</t>
  </si>
  <si>
    <t>103</t>
  </si>
  <si>
    <t>104</t>
  </si>
  <si>
    <t>105</t>
  </si>
  <si>
    <t>106</t>
  </si>
  <si>
    <t>107</t>
  </si>
  <si>
    <t>108</t>
  </si>
  <si>
    <t>109</t>
  </si>
  <si>
    <t>110</t>
  </si>
  <si>
    <t>111</t>
  </si>
  <si>
    <t>112</t>
  </si>
  <si>
    <t>201</t>
  </si>
  <si>
    <t>202</t>
  </si>
  <si>
    <t>203</t>
  </si>
  <si>
    <t>204</t>
  </si>
  <si>
    <t>205</t>
  </si>
  <si>
    <t>206</t>
  </si>
  <si>
    <t>207</t>
  </si>
  <si>
    <t>208</t>
  </si>
  <si>
    <t>209</t>
  </si>
  <si>
    <t>210</t>
  </si>
  <si>
    <t>211</t>
  </si>
  <si>
    <t>212</t>
  </si>
  <si>
    <t>213</t>
  </si>
  <si>
    <t>214</t>
  </si>
  <si>
    <t>301</t>
  </si>
  <si>
    <t>302</t>
  </si>
  <si>
    <t>303</t>
  </si>
  <si>
    <t>304</t>
  </si>
  <si>
    <t>305</t>
  </si>
  <si>
    <t>306</t>
  </si>
  <si>
    <t>307</t>
  </si>
  <si>
    <t>308</t>
  </si>
  <si>
    <t>309</t>
  </si>
  <si>
    <t>310</t>
  </si>
  <si>
    <t>311</t>
  </si>
  <si>
    <t>312</t>
  </si>
  <si>
    <t>313</t>
  </si>
  <si>
    <t>314</t>
  </si>
  <si>
    <t>401</t>
  </si>
  <si>
    <t>402</t>
  </si>
  <si>
    <t>403</t>
  </si>
  <si>
    <t>404</t>
  </si>
  <si>
    <t>405</t>
  </si>
  <si>
    <t>406</t>
  </si>
  <si>
    <t>407</t>
  </si>
  <si>
    <t>408</t>
  </si>
  <si>
    <t>409</t>
  </si>
  <si>
    <t>410</t>
  </si>
  <si>
    <t>411</t>
  </si>
  <si>
    <t>412</t>
  </si>
  <si>
    <t>413</t>
  </si>
  <si>
    <t>414</t>
  </si>
  <si>
    <t>501</t>
  </si>
  <si>
    <t>502</t>
  </si>
  <si>
    <t>503</t>
  </si>
  <si>
    <t>504</t>
  </si>
  <si>
    <t>505</t>
  </si>
  <si>
    <t>506</t>
  </si>
  <si>
    <t>507</t>
  </si>
  <si>
    <t>508</t>
  </si>
  <si>
    <t>509</t>
  </si>
  <si>
    <t>510</t>
  </si>
  <si>
    <t>511</t>
  </si>
  <si>
    <t>512</t>
  </si>
  <si>
    <t>513</t>
  </si>
  <si>
    <t>514</t>
  </si>
  <si>
    <t>601</t>
  </si>
  <si>
    <t>602</t>
  </si>
  <si>
    <t>603</t>
  </si>
  <si>
    <t>604</t>
  </si>
  <si>
    <t>605</t>
  </si>
  <si>
    <t>606</t>
  </si>
  <si>
    <t>607</t>
  </si>
  <si>
    <t>608</t>
  </si>
  <si>
    <t>609</t>
  </si>
  <si>
    <t>610</t>
  </si>
  <si>
    <t>611</t>
  </si>
  <si>
    <t>612</t>
  </si>
  <si>
    <t>613</t>
  </si>
  <si>
    <t>614</t>
  </si>
  <si>
    <t>701</t>
  </si>
  <si>
    <t>702</t>
  </si>
  <si>
    <t>703</t>
  </si>
  <si>
    <t>704</t>
  </si>
  <si>
    <t>705</t>
  </si>
  <si>
    <t>706</t>
  </si>
  <si>
    <t>707</t>
  </si>
  <si>
    <t>708</t>
  </si>
  <si>
    <t>709</t>
  </si>
  <si>
    <t>710</t>
  </si>
  <si>
    <t>711</t>
  </si>
  <si>
    <t>712</t>
  </si>
  <si>
    <t>713</t>
  </si>
  <si>
    <t>714</t>
  </si>
  <si>
    <t>801</t>
  </si>
  <si>
    <t>802</t>
  </si>
  <si>
    <t>803</t>
  </si>
  <si>
    <t>804</t>
  </si>
  <si>
    <t>805</t>
  </si>
  <si>
    <t>806</t>
  </si>
  <si>
    <t>807</t>
  </si>
  <si>
    <t>808</t>
  </si>
  <si>
    <t>809</t>
  </si>
  <si>
    <t>810</t>
  </si>
  <si>
    <t>811</t>
  </si>
  <si>
    <t>812</t>
  </si>
  <si>
    <t>813</t>
  </si>
  <si>
    <t>814</t>
  </si>
  <si>
    <t>901</t>
  </si>
  <si>
    <t>902</t>
  </si>
  <si>
    <t>903</t>
  </si>
  <si>
    <t>904</t>
  </si>
  <si>
    <t>905</t>
  </si>
  <si>
    <t>906</t>
  </si>
  <si>
    <t>907</t>
  </si>
  <si>
    <t>908</t>
  </si>
  <si>
    <t>909</t>
  </si>
  <si>
    <t>910</t>
  </si>
  <si>
    <t>911</t>
  </si>
  <si>
    <t>912</t>
  </si>
  <si>
    <t>913</t>
  </si>
  <si>
    <t>地上</t>
  </si>
  <si>
    <t>是</t>
  </si>
  <si>
    <t>否</t>
  </si>
  <si>
    <t>商业</t>
    <phoneticPr fontId="7" type="noConversion"/>
  </si>
  <si>
    <t>成新度</t>
  </si>
  <si>
    <t>收益法</t>
  </si>
  <si>
    <t>钢</t>
  </si>
  <si>
    <t>非生产用房</t>
  </si>
  <si>
    <t>按租金收入计税</t>
  </si>
  <si>
    <t>押一</t>
  </si>
  <si>
    <t>现房</t>
  </si>
  <si>
    <t>成本法</t>
  </si>
  <si>
    <t>地面单价</t>
    <phoneticPr fontId="7" type="noConversion"/>
  </si>
  <si>
    <t>土地价值</t>
    <phoneticPr fontId="7" type="noConversion"/>
  </si>
  <si>
    <t>楼面价</t>
    <phoneticPr fontId="7"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</si>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</sst>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6" fillId="9" borderId="1" xfId="1" applyNumberFormat="1" applyFont="1" applyFill="1" applyBorder="1" applyAlignment="1" applyProtection="1">
      <alignment horizontal="center"/>
      <protection locked="0"/>
    </xf>
    <xf numFmtId="0" fontId="49" fillId="17" borderId="13" xfId="0" applyFont="1" applyFill="1" applyBorder="1" applyAlignment="1" applyProtection="1">
      <alignment vertical="center"/>
    </xf>
    <xf numFmtId="9" fontId="50" fillId="17" borderId="5"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2)"/>
      <sheetName val="成本法 (3)"/>
      <sheetName val="收益法-3"/>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43598</v>
          </cell>
        </row>
        <row r="13">
          <cell r="E13">
            <v>56156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C47">
            <v>1613</v>
          </cell>
        </row>
        <row r="48">
          <cell r="C48">
            <v>1613</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F3">
            <v>25862.45</v>
          </cell>
        </row>
        <row r="6">
          <cell r="F6">
            <v>14596.3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估价对象为房地产，为所有。根据《国有土地使用证》[]，估价对象（分摊）出让国有建设用地使用权面积为14160.27平方米，建筑面积为7397.61平方米。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估价对象为房地产,属开发建设的，该项目尚在开发建设中。根据《国有土地使用证》[]，估价对象（分摊）出让国有建设用地使用权面积为14160.27平方米，规划建筑面积为7397.61平方米。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7035</v>
      </c>
    </row>
    <row r="21" spans="1:2" s="1596" customFormat="1">
      <c r="A21" s="1594" t="s">
        <v>1231</v>
      </c>
      <c r="B21" s="1595">
        <f ca="1">'预评函-2'!D7</f>
        <v>9510</v>
      </c>
    </row>
    <row r="22" spans="1:2" s="1596" customFormat="1">
      <c r="A22" s="1594" t="s">
        <v>1232</v>
      </c>
      <c r="B22" s="1595" t="str">
        <f ca="1">'预评函-2'!D6</f>
        <v>柒仟零叁拾伍万元整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7035</v>
      </c>
    </row>
    <row r="31" spans="1:2" s="1596" customFormat="1">
      <c r="A31" s="1594" t="s">
        <v>1270</v>
      </c>
      <c r="B31" s="1595">
        <f ca="1">'预评函-2'!D15</f>
        <v>9510</v>
      </c>
    </row>
    <row r="32" spans="1:2" s="1596" customFormat="1">
      <c r="A32" s="1594" t="s">
        <v>1237</v>
      </c>
      <c r="B32" s="1595" t="str">
        <f ca="1">'预评函-2'!D14</f>
        <v>柒仟零叁拾伍万元整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7397.6099999999988</v>
      </c>
    </row>
    <row r="44" spans="1:2" s="1596" customFormat="1">
      <c r="A44" s="1594" t="s">
        <v>1269</v>
      </c>
      <c r="B44" s="1595" t="str">
        <f>'预评函-3'!C2</f>
        <v>(分摊)土地面积</v>
      </c>
    </row>
    <row r="45" spans="1:2" s="1596" customFormat="1">
      <c r="A45" s="1594" t="s">
        <v>1241</v>
      </c>
      <c r="B45" s="1595">
        <f>'预评函-3'!C4</f>
        <v>14160.27</v>
      </c>
    </row>
    <row r="46" spans="1:2" s="1596" customFormat="1">
      <c r="A46" s="1594" t="s">
        <v>1267</v>
      </c>
      <c r="B46" s="1595" t="str">
        <f>'预评函-3'!D2</f>
        <v>出让国有建设用地使用权价值</v>
      </c>
    </row>
    <row r="47" spans="1:2" s="1596" customFormat="1">
      <c r="A47" s="1594" t="s">
        <v>1242</v>
      </c>
      <c r="B47" s="1595">
        <f ca="1">'预评函-3'!D4</f>
        <v>542</v>
      </c>
    </row>
    <row r="48" spans="1:2" s="1596" customFormat="1">
      <c r="A48" s="1594" t="s">
        <v>1243</v>
      </c>
      <c r="B48" s="1595">
        <f ca="1">'预评函-3'!E4</f>
        <v>733</v>
      </c>
    </row>
    <row r="49" spans="1:2" s="1596" customFormat="1">
      <c r="A49" s="1594" t="s">
        <v>1244</v>
      </c>
      <c r="B49" s="1595" t="str">
        <f ca="1">'预评函-3'!D5</f>
        <v>伍佰肆拾贰万元整</v>
      </c>
    </row>
    <row r="50" spans="1:2" s="1596" customFormat="1">
      <c r="A50" s="1594" t="s">
        <v>1268</v>
      </c>
      <c r="B50" s="1595" t="str">
        <f>'预评函-3'!F2</f>
        <v>在建建筑物价值</v>
      </c>
    </row>
    <row r="51" spans="1:2" s="1596" customFormat="1">
      <c r="A51" s="1594" t="s">
        <v>1245</v>
      </c>
      <c r="B51" s="1595">
        <f ca="1">'预评函-3'!F4</f>
        <v>6493</v>
      </c>
    </row>
    <row r="52" spans="1:2" s="1596" customFormat="1">
      <c r="A52" s="1594" t="s">
        <v>1246</v>
      </c>
      <c r="B52" s="1595">
        <f ca="1">'预评函-3'!G4</f>
        <v>8777</v>
      </c>
    </row>
    <row r="53" spans="1:2" s="1596" customFormat="1">
      <c r="A53" s="1594" t="s">
        <v>1274</v>
      </c>
      <c r="B53" s="1595" t="str">
        <f ca="1">'预评函-3'!F5</f>
        <v>陆仟肆佰玖拾叁万元整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3" t="str">
        <f>IF(B10="北京市","北京市",C10)&amp;F10&amp;IF(结果表!G1="在建","出让国有建设用地使用权及在建建筑物",IF(结果表!G1="土地","出让国有建设用地使用权",))&amp;B9&amp;"预评估"</f>
        <v>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f>[1]项目基本情况!$B$3</f>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3006" t="s">
        <v>1781</v>
      </c>
      <c r="E8" s="2060" t="s">
        <v>3057</v>
      </c>
      <c r="F8" s="2061"/>
      <c r="G8" s="2029"/>
      <c r="H8" s="2029"/>
      <c r="I8" s="2029"/>
      <c r="J8" s="2045"/>
      <c r="K8" s="2046"/>
      <c r="L8" s="2031"/>
      <c r="M8" s="2031"/>
      <c r="N8" s="2032"/>
      <c r="O8" s="2033"/>
      <c r="P8" s="2032"/>
      <c r="Q8" s="2032"/>
      <c r="R8" s="2032"/>
    </row>
    <row r="9" spans="1:19" ht="18" customHeight="1" thickBot="1">
      <c r="A9" s="2043" t="s">
        <v>1782</v>
      </c>
      <c r="B9" s="2062" t="s">
        <v>3057</v>
      </c>
      <c r="C9" s="2063"/>
      <c r="D9" s="3007"/>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3059</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3060</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f>[1]项目基本情况!$E$13</f>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3"/>
      <c r="C16" s="3014"/>
      <c r="D16" s="3015"/>
      <c r="E16" s="2089" t="s">
        <v>1798</v>
      </c>
      <c r="F16" s="3016"/>
      <c r="G16" s="3017"/>
      <c r="H16" s="3017"/>
      <c r="I16" s="3018"/>
      <c r="J16" s="2032"/>
      <c r="K16" s="2086"/>
      <c r="L16" s="2087"/>
      <c r="M16" s="2087"/>
      <c r="N16" s="2088"/>
      <c r="O16" s="2087"/>
      <c r="P16" s="2088"/>
      <c r="Q16" s="2032"/>
      <c r="R16" s="2032"/>
    </row>
    <row r="17" spans="1:22" ht="18" customHeight="1">
      <c r="A17" s="2090" t="s">
        <v>1799</v>
      </c>
      <c r="B17" s="2038" t="s">
        <v>1800</v>
      </c>
      <c r="C17" s="1057">
        <f>'数据-汇总表'!E3</f>
        <v>7397.6099999999988</v>
      </c>
      <c r="D17" s="2091" t="s">
        <v>1801</v>
      </c>
      <c r="E17" s="3019" t="s">
        <v>1802</v>
      </c>
      <c r="F17" s="3020"/>
      <c r="G17" s="3020"/>
      <c r="H17" s="3020"/>
      <c r="I17" s="302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14160.27</v>
      </c>
      <c r="D18" s="2094" t="s">
        <v>1801</v>
      </c>
      <c r="E18" s="3022" t="s">
        <v>1805</v>
      </c>
      <c r="F18" s="3023"/>
      <c r="G18" s="3023"/>
      <c r="H18" s="3023"/>
      <c r="I18" s="302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9" t="s">
        <v>1810</v>
      </c>
      <c r="C20" s="3010"/>
      <c r="D20" s="3011" t="s">
        <v>1811</v>
      </c>
      <c r="E20" s="3012"/>
      <c r="F20" s="2101" t="s">
        <v>1812</v>
      </c>
      <c r="G20" s="2045"/>
      <c r="H20" s="2045"/>
      <c r="I20" s="2045"/>
      <c r="J20" s="2045"/>
      <c r="K20" s="300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7"/>
      <c r="B30" s="2038" t="s">
        <v>1829</v>
      </c>
      <c r="C30" s="2998"/>
      <c r="D30" s="299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2995" t="s">
        <v>1839</v>
      </c>
      <c r="T34" s="2138" t="str">
        <f>NUMBERSTRING(7-K34,1)&amp;"通"</f>
        <v>七通</v>
      </c>
      <c r="U34" s="2032"/>
      <c r="V34" s="2032"/>
    </row>
    <row r="35" spans="1:22" ht="18" customHeight="1">
      <c r="A35" s="2139"/>
      <c r="B35" s="3002" t="s">
        <v>1840</v>
      </c>
      <c r="C35" s="3002"/>
      <c r="D35" s="3002"/>
      <c r="E35" s="300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[2]面积表!$F$6</f>
        <v>14596.3</v>
      </c>
      <c r="B3" s="14">
        <f>IF(C3="否",G5-AT5,G5)</f>
        <v>7625.3999999999978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7625.3999999999978</v>
      </c>
      <c r="H5" s="16">
        <f t="shared" ref="H5:AT5" si="0">SUM(H13:H656)</f>
        <v>7625.3999999999978</v>
      </c>
      <c r="I5" s="16">
        <f t="shared" si="0"/>
        <v>7625.3999999999978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7397.6099999999988</v>
      </c>
      <c r="BA5" s="18">
        <f t="shared" si="1"/>
        <v>7397.6099999999988</v>
      </c>
      <c r="BB5" s="18">
        <f t="shared" si="1"/>
        <v>7397.6099999999988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14596.3</v>
      </c>
      <c r="F6" s="16" t="s">
        <v>1</v>
      </c>
      <c r="G6" s="16" t="s">
        <v>2</v>
      </c>
      <c r="H6" s="20">
        <f>SUMIF(I$12:AB$12,"总值",I6:AB6)</f>
        <v>14596.3</v>
      </c>
      <c r="I6" s="16">
        <f t="shared" ref="I6:AB6" si="2">ROUND($A$3*I5/$B$3,2)</f>
        <v>14596.3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14160.27</v>
      </c>
      <c r="AZ6" s="16" t="s">
        <v>3</v>
      </c>
      <c r="BA6" s="16">
        <f>ROUND($AY$6*BA5/$AZ$5,2)</f>
        <v>14160.27</v>
      </c>
      <c r="BB6" s="16">
        <f>ROUND($AY$6*BB5/$AZ$5,2)</f>
        <v>14160.27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3184</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3061</v>
      </c>
      <c r="D13" s="2217" t="s">
        <v>3185</v>
      </c>
      <c r="E13" s="16">
        <f>IF($C$3="是",ROUND($A$3*G13/$B$3,2),ROUND($A$3*(G13-AT13)/$B$3,2))</f>
        <v>134.07</v>
      </c>
      <c r="F13" s="32"/>
      <c r="G13" s="33">
        <f>H13+AC13+AT13</f>
        <v>70.040000000000006</v>
      </c>
      <c r="H13" s="20">
        <f>SUMIF(I$12:AB$12,"总值",I13:AB13)</f>
        <v>70.040000000000006</v>
      </c>
      <c r="I13" s="2218">
        <v>70.040000000000006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101</v>
      </c>
      <c r="AY13" s="1809">
        <f>ROUND($AY$6*AZ13/$AZ$5,2)</f>
        <v>134.07</v>
      </c>
      <c r="AZ13" s="16">
        <f>BA13+BL13</f>
        <v>70.040000000000006</v>
      </c>
      <c r="BA13" s="16">
        <f>SUM(BB13:BK13)</f>
        <v>70.040000000000006</v>
      </c>
      <c r="BB13" s="16">
        <f>IF($D13="是",I13-J13,0)</f>
        <v>70.040000000000006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3062</v>
      </c>
      <c r="D14" s="2217" t="s">
        <v>3185</v>
      </c>
      <c r="E14" s="16">
        <f>IF($C$3="是",ROUND($A$3*G14/$B$3,2),ROUND($A$3*(G14-AT14)/$B$3,2))</f>
        <v>103.59</v>
      </c>
      <c r="F14" s="32"/>
      <c r="G14" s="33">
        <f>H14+AC14+AT14</f>
        <v>54.12</v>
      </c>
      <c r="H14" s="20">
        <f>SUMIF(I$12:AB$12,"总值",I14:AB14)</f>
        <v>54.12</v>
      </c>
      <c r="I14" s="2218">
        <v>54.12</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102</v>
      </c>
      <c r="AY14" s="1809">
        <f>ROUND($AY$6*AZ14/$AZ$5,2)</f>
        <v>103.59</v>
      </c>
      <c r="AZ14" s="16">
        <f>BA14+BL14</f>
        <v>54.12</v>
      </c>
      <c r="BA14" s="16">
        <f>SUM(BB14:BK14)</f>
        <v>54.12</v>
      </c>
      <c r="BB14" s="16">
        <f>IF($D14="是",I14-J14,0)</f>
        <v>54.12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t="s">
        <v>3063</v>
      </c>
      <c r="D15" s="2217" t="s">
        <v>3185</v>
      </c>
      <c r="E15" s="16">
        <f>IF($C$3="是",ROUND($A$3*G15/$B$3,2),ROUND($A$3*(G15-AT15)/$B$3,2))</f>
        <v>103.37</v>
      </c>
      <c r="F15" s="32"/>
      <c r="G15" s="33">
        <f>H15+AC15+AT15</f>
        <v>54</v>
      </c>
      <c r="H15" s="20">
        <f>SUMIF(I$12:AB$12,"总值",I15:AB15)</f>
        <v>54</v>
      </c>
      <c r="I15" s="2218">
        <v>54</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103</v>
      </c>
      <c r="AY15" s="1809">
        <f>ROUND($AY$6*AZ15/$AZ$5,2)</f>
        <v>103.37</v>
      </c>
      <c r="AZ15" s="16">
        <f>BA15+BL15</f>
        <v>54</v>
      </c>
      <c r="BA15" s="16">
        <f>SUM(BB15:BK15)</f>
        <v>54</v>
      </c>
      <c r="BB15" s="16">
        <f>IF($D15="是",I15-J15,0)</f>
        <v>54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t="s">
        <v>3064</v>
      </c>
      <c r="D16" s="2217" t="s">
        <v>3185</v>
      </c>
      <c r="E16" s="16">
        <f>IF($C$3="是",ROUND($A$3*G16/$B$3,2),ROUND($A$3*(G16-AT16)/$B$3,2))</f>
        <v>104.07</v>
      </c>
      <c r="F16" s="32"/>
      <c r="G16" s="33">
        <f>H16+AC16+AT16</f>
        <v>54.37</v>
      </c>
      <c r="H16" s="20">
        <f>SUMIF(I$12:AB$12,"总值",I16:AB16)</f>
        <v>54.37</v>
      </c>
      <c r="I16" s="2218">
        <v>54.37</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104</v>
      </c>
      <c r="AY16" s="1809">
        <f>ROUND($AY$6*AZ16/$AZ$5,2)</f>
        <v>104.07</v>
      </c>
      <c r="AZ16" s="16">
        <f>BA16+BL16</f>
        <v>54.37</v>
      </c>
      <c r="BA16" s="16">
        <f>SUM(BB16:BK16)</f>
        <v>54.37</v>
      </c>
      <c r="BB16" s="16">
        <f>IF($D16="是",I16-J16,0)</f>
        <v>54.37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t="s">
        <v>3065</v>
      </c>
      <c r="D17" s="2217" t="s">
        <v>3185</v>
      </c>
      <c r="E17" s="16">
        <f>IF($C$3="是",ROUND($A$3*G17/$B$3,2),ROUND($A$3*(G17-AT17)/$B$3,2))</f>
        <v>128.71</v>
      </c>
      <c r="F17" s="32"/>
      <c r="G17" s="33">
        <f>H17+AC17+AT17</f>
        <v>67.239999999999995</v>
      </c>
      <c r="H17" s="20">
        <f>SUMIF(I$12:AB$12,"总值",I17:AB17)</f>
        <v>67.239999999999995</v>
      </c>
      <c r="I17" s="2218">
        <v>67.239999999999995</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105</v>
      </c>
      <c r="AY17" s="1809">
        <f>ROUND($AY$6*AZ17/$AZ$5,2)</f>
        <v>128.71</v>
      </c>
      <c r="AZ17" s="16">
        <f>BA17+BL17</f>
        <v>67.239999999999995</v>
      </c>
      <c r="BA17" s="16">
        <f>SUM(BB17:BK17)</f>
        <v>67.239999999999995</v>
      </c>
      <c r="BB17" s="16">
        <f>IF($D17="是",I17-J17,0)</f>
        <v>67.239999999999995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3066</v>
      </c>
      <c r="D18" s="2217" t="s">
        <v>3185</v>
      </c>
      <c r="E18" s="35">
        <f t="shared" ref="E18:E112" si="7">IF($C$3="是",ROUND($A$3*G18/$B$3,2),ROUND($A$3*(G18-AT18)/$B$3,2))</f>
        <v>109.74</v>
      </c>
      <c r="F18" s="36"/>
      <c r="G18" s="37">
        <f t="shared" ref="G18:G109" si="8">H18+AC18+AT18</f>
        <v>57.33</v>
      </c>
      <c r="H18" s="38">
        <f t="shared" ref="H18:H109" si="9">SUMIF(I$12:AB$12,"总值",I18:AB18)</f>
        <v>57.33</v>
      </c>
      <c r="I18" s="39">
        <v>57.33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t="str">
        <f t="shared" ref="AX18:AX112" si="13">C18</f>
        <v>106</v>
      </c>
      <c r="AY18" s="42">
        <f t="shared" ref="AY18:AY109" si="14">ROUND($AY$6*AZ18/$AZ$5,2)</f>
        <v>109.74</v>
      </c>
      <c r="AZ18" s="35">
        <f t="shared" ref="AZ18:AZ109" si="15">BA18+BL18</f>
        <v>57.33</v>
      </c>
      <c r="BA18" s="35">
        <f t="shared" ref="BA18:BA109" si="16">SUM(BB18:BK18)</f>
        <v>57.33</v>
      </c>
      <c r="BB18" s="35">
        <f t="shared" ref="BB18:BB109" si="17">IF($D18="是",I18-J18,0)</f>
        <v>57.33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3067</v>
      </c>
      <c r="D19" s="2217" t="s">
        <v>3185</v>
      </c>
      <c r="E19" s="35">
        <f t="shared" si="7"/>
        <v>185.58</v>
      </c>
      <c r="F19" s="36"/>
      <c r="G19" s="37">
        <f t="shared" si="8"/>
        <v>96.95</v>
      </c>
      <c r="H19" s="38">
        <f t="shared" si="9"/>
        <v>96.95</v>
      </c>
      <c r="I19" s="39">
        <v>96.95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t="str">
        <f t="shared" si="13"/>
        <v>107</v>
      </c>
      <c r="AY19" s="42">
        <f t="shared" si="14"/>
        <v>185.58</v>
      </c>
      <c r="AZ19" s="35">
        <f t="shared" si="15"/>
        <v>96.95</v>
      </c>
      <c r="BA19" s="35">
        <f t="shared" si="16"/>
        <v>96.95</v>
      </c>
      <c r="BB19" s="35">
        <f t="shared" si="17"/>
        <v>96.95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3068</v>
      </c>
      <c r="D20" s="2217" t="s">
        <v>3185</v>
      </c>
      <c r="E20" s="35">
        <f t="shared" si="7"/>
        <v>185.58</v>
      </c>
      <c r="F20" s="36"/>
      <c r="G20" s="37">
        <f t="shared" si="8"/>
        <v>96.95</v>
      </c>
      <c r="H20" s="38">
        <f t="shared" si="9"/>
        <v>96.95</v>
      </c>
      <c r="I20" s="39">
        <v>96.95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t="str">
        <f t="shared" si="13"/>
        <v>108</v>
      </c>
      <c r="AY20" s="42">
        <f t="shared" si="14"/>
        <v>185.58</v>
      </c>
      <c r="AZ20" s="35">
        <f t="shared" si="15"/>
        <v>96.95</v>
      </c>
      <c r="BA20" s="35">
        <f t="shared" si="16"/>
        <v>96.95</v>
      </c>
      <c r="BB20" s="35">
        <f t="shared" si="17"/>
        <v>96.95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3069</v>
      </c>
      <c r="D21" s="2217" t="s">
        <v>3185</v>
      </c>
      <c r="E21" s="35">
        <f t="shared" si="7"/>
        <v>109.74</v>
      </c>
      <c r="F21" s="36"/>
      <c r="G21" s="37">
        <f t="shared" si="8"/>
        <v>57.33</v>
      </c>
      <c r="H21" s="38">
        <f t="shared" si="9"/>
        <v>57.33</v>
      </c>
      <c r="I21" s="39">
        <v>57.33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t="str">
        <f t="shared" si="13"/>
        <v>109</v>
      </c>
      <c r="AY21" s="42">
        <f t="shared" si="14"/>
        <v>109.74</v>
      </c>
      <c r="AZ21" s="35">
        <f t="shared" si="15"/>
        <v>57.33</v>
      </c>
      <c r="BA21" s="35">
        <f t="shared" si="16"/>
        <v>57.33</v>
      </c>
      <c r="BB21" s="35">
        <f t="shared" si="17"/>
        <v>57.33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3070</v>
      </c>
      <c r="D22" s="2217" t="s">
        <v>3185</v>
      </c>
      <c r="E22" s="35">
        <f t="shared" si="7"/>
        <v>128.80000000000001</v>
      </c>
      <c r="F22" s="36"/>
      <c r="G22" s="37">
        <f t="shared" si="8"/>
        <v>67.290000000000006</v>
      </c>
      <c r="H22" s="38">
        <f t="shared" si="9"/>
        <v>67.290000000000006</v>
      </c>
      <c r="I22" s="39">
        <v>67.290000000000006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t="str">
        <f t="shared" si="13"/>
        <v>110</v>
      </c>
      <c r="AY22" s="42">
        <f t="shared" si="14"/>
        <v>128.80000000000001</v>
      </c>
      <c r="AZ22" s="35">
        <f t="shared" si="15"/>
        <v>67.290000000000006</v>
      </c>
      <c r="BA22" s="35">
        <f t="shared" si="16"/>
        <v>67.290000000000006</v>
      </c>
      <c r="BB22" s="35">
        <f t="shared" si="17"/>
        <v>67.290000000000006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3071</v>
      </c>
      <c r="D23" s="2217" t="s">
        <v>3185</v>
      </c>
      <c r="E23" s="35">
        <f t="shared" si="7"/>
        <v>103.59</v>
      </c>
      <c r="F23" s="36"/>
      <c r="G23" s="37">
        <f t="shared" si="8"/>
        <v>54.12</v>
      </c>
      <c r="H23" s="38">
        <f t="shared" si="9"/>
        <v>54.12</v>
      </c>
      <c r="I23" s="39">
        <v>54.12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t="str">
        <f t="shared" si="13"/>
        <v>111</v>
      </c>
      <c r="AY23" s="42">
        <f t="shared" si="14"/>
        <v>103.59</v>
      </c>
      <c r="AZ23" s="35">
        <f t="shared" si="15"/>
        <v>54.12</v>
      </c>
      <c r="BA23" s="35">
        <f t="shared" si="16"/>
        <v>54.12</v>
      </c>
      <c r="BB23" s="35">
        <f t="shared" si="17"/>
        <v>54.12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3072</v>
      </c>
      <c r="D24" s="2217" t="s">
        <v>3185</v>
      </c>
      <c r="E24" s="35">
        <f t="shared" si="7"/>
        <v>141.76</v>
      </c>
      <c r="F24" s="36"/>
      <c r="G24" s="37">
        <f t="shared" si="8"/>
        <v>74.06</v>
      </c>
      <c r="H24" s="38">
        <f t="shared" si="9"/>
        <v>74.06</v>
      </c>
      <c r="I24" s="39">
        <v>74.06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t="str">
        <f t="shared" si="13"/>
        <v>112</v>
      </c>
      <c r="AY24" s="42">
        <f t="shared" si="14"/>
        <v>141.76</v>
      </c>
      <c r="AZ24" s="35">
        <f t="shared" si="15"/>
        <v>74.06</v>
      </c>
      <c r="BA24" s="35">
        <f t="shared" si="16"/>
        <v>74.06</v>
      </c>
      <c r="BB24" s="35">
        <f t="shared" si="17"/>
        <v>74.06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3073</v>
      </c>
      <c r="D25" s="2217" t="s">
        <v>3185</v>
      </c>
      <c r="E25" s="35">
        <f t="shared" si="7"/>
        <v>130.68</v>
      </c>
      <c r="F25" s="36"/>
      <c r="G25" s="37">
        <f t="shared" si="8"/>
        <v>68.27</v>
      </c>
      <c r="H25" s="38">
        <f t="shared" si="9"/>
        <v>68.27</v>
      </c>
      <c r="I25" s="39">
        <v>68.27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t="str">
        <f t="shared" si="13"/>
        <v>201</v>
      </c>
      <c r="AY25" s="42">
        <f t="shared" si="14"/>
        <v>130.68</v>
      </c>
      <c r="AZ25" s="35">
        <f t="shared" si="15"/>
        <v>68.27</v>
      </c>
      <c r="BA25" s="35">
        <f t="shared" si="16"/>
        <v>68.27</v>
      </c>
      <c r="BB25" s="35">
        <f t="shared" si="17"/>
        <v>68.27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3074</v>
      </c>
      <c r="D26" s="2217" t="s">
        <v>3185</v>
      </c>
      <c r="E26" s="35">
        <f t="shared" si="7"/>
        <v>100.95</v>
      </c>
      <c r="F26" s="36"/>
      <c r="G26" s="37">
        <f t="shared" si="8"/>
        <v>52.74</v>
      </c>
      <c r="H26" s="38">
        <f t="shared" si="9"/>
        <v>52.74</v>
      </c>
      <c r="I26" s="39">
        <v>52.74</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t="str">
        <f t="shared" si="13"/>
        <v>202</v>
      </c>
      <c r="AY26" s="42">
        <f t="shared" si="14"/>
        <v>100.95</v>
      </c>
      <c r="AZ26" s="35">
        <f t="shared" si="15"/>
        <v>52.74</v>
      </c>
      <c r="BA26" s="35">
        <f t="shared" si="16"/>
        <v>52.74</v>
      </c>
      <c r="BB26" s="35">
        <f t="shared" si="17"/>
        <v>52.74</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3075</v>
      </c>
      <c r="D27" s="2217" t="s">
        <v>3185</v>
      </c>
      <c r="E27" s="35">
        <f t="shared" si="7"/>
        <v>100.74</v>
      </c>
      <c r="F27" s="36"/>
      <c r="G27" s="37">
        <f t="shared" si="8"/>
        <v>52.63</v>
      </c>
      <c r="H27" s="38">
        <f t="shared" si="9"/>
        <v>52.63</v>
      </c>
      <c r="I27" s="39">
        <v>52.63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t="str">
        <f t="shared" si="13"/>
        <v>203</v>
      </c>
      <c r="AY27" s="42">
        <f t="shared" si="14"/>
        <v>100.74</v>
      </c>
      <c r="AZ27" s="35">
        <f t="shared" si="15"/>
        <v>52.63</v>
      </c>
      <c r="BA27" s="35">
        <f t="shared" si="16"/>
        <v>52.63</v>
      </c>
      <c r="BB27" s="35">
        <f t="shared" si="17"/>
        <v>52.63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3076</v>
      </c>
      <c r="D28" s="2217" t="s">
        <v>3185</v>
      </c>
      <c r="E28" s="35">
        <f t="shared" si="7"/>
        <v>101.45</v>
      </c>
      <c r="F28" s="36"/>
      <c r="G28" s="37">
        <f t="shared" si="8"/>
        <v>53</v>
      </c>
      <c r="H28" s="38">
        <f t="shared" si="9"/>
        <v>53</v>
      </c>
      <c r="I28" s="39">
        <v>53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t="str">
        <f t="shared" si="13"/>
        <v>204</v>
      </c>
      <c r="AY28" s="42">
        <f t="shared" si="14"/>
        <v>101.45</v>
      </c>
      <c r="AZ28" s="35">
        <f t="shared" si="15"/>
        <v>53</v>
      </c>
      <c r="BA28" s="35">
        <f t="shared" si="16"/>
        <v>53</v>
      </c>
      <c r="BB28" s="35">
        <f t="shared" si="17"/>
        <v>53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3077</v>
      </c>
      <c r="D29" s="2217" t="s">
        <v>3185</v>
      </c>
      <c r="E29" s="35">
        <f t="shared" si="7"/>
        <v>125.45</v>
      </c>
      <c r="F29" s="36"/>
      <c r="G29" s="37">
        <f t="shared" si="8"/>
        <v>65.540000000000006</v>
      </c>
      <c r="H29" s="38">
        <f t="shared" si="9"/>
        <v>65.540000000000006</v>
      </c>
      <c r="I29" s="39">
        <v>65.540000000000006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t="str">
        <f t="shared" si="13"/>
        <v>205</v>
      </c>
      <c r="AY29" s="42">
        <f t="shared" si="14"/>
        <v>125.45</v>
      </c>
      <c r="AZ29" s="35">
        <f t="shared" si="15"/>
        <v>65.540000000000006</v>
      </c>
      <c r="BA29" s="35">
        <f t="shared" si="16"/>
        <v>65.540000000000006</v>
      </c>
      <c r="BB29" s="35">
        <f t="shared" si="17"/>
        <v>65.540000000000006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3078</v>
      </c>
      <c r="D30" s="2217" t="s">
        <v>3185</v>
      </c>
      <c r="E30" s="35">
        <f t="shared" si="7"/>
        <v>106.96</v>
      </c>
      <c r="F30" s="36"/>
      <c r="G30" s="37">
        <f t="shared" si="8"/>
        <v>55.88</v>
      </c>
      <c r="H30" s="38">
        <f t="shared" si="9"/>
        <v>55.88</v>
      </c>
      <c r="I30" s="39">
        <v>55.88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t="str">
        <f t="shared" si="13"/>
        <v>206</v>
      </c>
      <c r="AY30" s="42">
        <f t="shared" si="14"/>
        <v>106.96</v>
      </c>
      <c r="AZ30" s="35">
        <f t="shared" si="15"/>
        <v>55.88</v>
      </c>
      <c r="BA30" s="35">
        <f t="shared" si="16"/>
        <v>55.88</v>
      </c>
      <c r="BB30" s="35">
        <f t="shared" si="17"/>
        <v>55.88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3079</v>
      </c>
      <c r="D31" s="2217" t="s">
        <v>3185</v>
      </c>
      <c r="E31" s="35">
        <f t="shared" si="7"/>
        <v>180.87</v>
      </c>
      <c r="F31" s="36"/>
      <c r="G31" s="37">
        <f t="shared" si="8"/>
        <v>94.49</v>
      </c>
      <c r="H31" s="38">
        <f t="shared" si="9"/>
        <v>94.49</v>
      </c>
      <c r="I31" s="39">
        <v>94.49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t="str">
        <f t="shared" si="13"/>
        <v>207</v>
      </c>
      <c r="AY31" s="42">
        <f t="shared" si="14"/>
        <v>180.87</v>
      </c>
      <c r="AZ31" s="35">
        <f t="shared" si="15"/>
        <v>94.49</v>
      </c>
      <c r="BA31" s="35">
        <f t="shared" si="16"/>
        <v>94.49</v>
      </c>
      <c r="BB31" s="35">
        <f t="shared" si="17"/>
        <v>94.49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3080</v>
      </c>
      <c r="D32" s="2217" t="s">
        <v>3185</v>
      </c>
      <c r="E32" s="35">
        <f t="shared" si="7"/>
        <v>180.87</v>
      </c>
      <c r="F32" s="36"/>
      <c r="G32" s="37">
        <f t="shared" si="8"/>
        <v>94.49</v>
      </c>
      <c r="H32" s="38">
        <f t="shared" si="9"/>
        <v>94.49</v>
      </c>
      <c r="I32" s="39">
        <v>94.49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t="str">
        <f t="shared" si="13"/>
        <v>208</v>
      </c>
      <c r="AY32" s="42">
        <f t="shared" si="14"/>
        <v>180.87</v>
      </c>
      <c r="AZ32" s="35">
        <f t="shared" si="15"/>
        <v>94.49</v>
      </c>
      <c r="BA32" s="35">
        <f t="shared" si="16"/>
        <v>94.49</v>
      </c>
      <c r="BB32" s="35">
        <f t="shared" si="17"/>
        <v>94.49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3081</v>
      </c>
      <c r="D33" s="2217" t="s">
        <v>3185</v>
      </c>
      <c r="E33" s="35">
        <f t="shared" si="7"/>
        <v>106.96</v>
      </c>
      <c r="F33" s="36"/>
      <c r="G33" s="37">
        <f t="shared" si="8"/>
        <v>55.88</v>
      </c>
      <c r="H33" s="38">
        <f t="shared" si="9"/>
        <v>55.88</v>
      </c>
      <c r="I33" s="39">
        <v>55.88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t="str">
        <f t="shared" si="13"/>
        <v>209</v>
      </c>
      <c r="AY33" s="42">
        <f t="shared" si="14"/>
        <v>106.96</v>
      </c>
      <c r="AZ33" s="35">
        <f t="shared" si="15"/>
        <v>55.88</v>
      </c>
      <c r="BA33" s="35">
        <f t="shared" si="16"/>
        <v>55.88</v>
      </c>
      <c r="BB33" s="35">
        <f t="shared" si="17"/>
        <v>55.88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3082</v>
      </c>
      <c r="D34" s="2217" t="s">
        <v>3185</v>
      </c>
      <c r="E34" s="35">
        <f t="shared" si="7"/>
        <v>125.45</v>
      </c>
      <c r="F34" s="36"/>
      <c r="G34" s="37">
        <f t="shared" si="8"/>
        <v>65.540000000000006</v>
      </c>
      <c r="H34" s="38">
        <f t="shared" si="9"/>
        <v>65.540000000000006</v>
      </c>
      <c r="I34" s="39">
        <v>65.540000000000006</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t="str">
        <f t="shared" si="13"/>
        <v>210</v>
      </c>
      <c r="AY34" s="42">
        <f t="shared" si="14"/>
        <v>125.45</v>
      </c>
      <c r="AZ34" s="35">
        <f t="shared" si="15"/>
        <v>65.540000000000006</v>
      </c>
      <c r="BA34" s="35">
        <f t="shared" si="16"/>
        <v>65.540000000000006</v>
      </c>
      <c r="BB34" s="35">
        <f t="shared" si="17"/>
        <v>65.540000000000006</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3083</v>
      </c>
      <c r="D35" s="2217" t="s">
        <v>3185</v>
      </c>
      <c r="E35" s="35">
        <f t="shared" si="7"/>
        <v>101.45</v>
      </c>
      <c r="F35" s="36"/>
      <c r="G35" s="37">
        <f t="shared" si="8"/>
        <v>53</v>
      </c>
      <c r="H35" s="38">
        <f t="shared" si="9"/>
        <v>53</v>
      </c>
      <c r="I35" s="39">
        <v>53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t="str">
        <f t="shared" si="13"/>
        <v>211</v>
      </c>
      <c r="AY35" s="42">
        <f t="shared" si="14"/>
        <v>101.45</v>
      </c>
      <c r="AZ35" s="35">
        <f t="shared" si="15"/>
        <v>53</v>
      </c>
      <c r="BA35" s="35">
        <f t="shared" si="16"/>
        <v>53</v>
      </c>
      <c r="BB35" s="35">
        <f t="shared" si="17"/>
        <v>53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3084</v>
      </c>
      <c r="D36" s="2217" t="s">
        <v>3185</v>
      </c>
      <c r="E36" s="35">
        <f t="shared" si="7"/>
        <v>100.74</v>
      </c>
      <c r="F36" s="36"/>
      <c r="G36" s="37">
        <f t="shared" si="8"/>
        <v>52.63</v>
      </c>
      <c r="H36" s="38">
        <f t="shared" si="9"/>
        <v>52.63</v>
      </c>
      <c r="I36" s="39">
        <v>52.63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t="str">
        <f t="shared" si="13"/>
        <v>212</v>
      </c>
      <c r="AY36" s="42">
        <f t="shared" si="14"/>
        <v>100.74</v>
      </c>
      <c r="AZ36" s="35">
        <f t="shared" si="15"/>
        <v>52.63</v>
      </c>
      <c r="BA36" s="35">
        <f t="shared" si="16"/>
        <v>52.63</v>
      </c>
      <c r="BB36" s="35">
        <f t="shared" si="17"/>
        <v>52.63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3085</v>
      </c>
      <c r="D37" s="2217" t="s">
        <v>3185</v>
      </c>
      <c r="E37" s="35">
        <f t="shared" si="7"/>
        <v>100.95</v>
      </c>
      <c r="F37" s="36"/>
      <c r="G37" s="37">
        <f t="shared" si="8"/>
        <v>52.74</v>
      </c>
      <c r="H37" s="38">
        <f t="shared" si="9"/>
        <v>52.74</v>
      </c>
      <c r="I37" s="39">
        <v>52.74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t="str">
        <f t="shared" si="13"/>
        <v>213</v>
      </c>
      <c r="AY37" s="42">
        <f t="shared" si="14"/>
        <v>100.95</v>
      </c>
      <c r="AZ37" s="35">
        <f t="shared" si="15"/>
        <v>52.74</v>
      </c>
      <c r="BA37" s="35">
        <f t="shared" si="16"/>
        <v>52.74</v>
      </c>
      <c r="BB37" s="35">
        <f t="shared" si="17"/>
        <v>52.74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3086</v>
      </c>
      <c r="D38" s="2217" t="s">
        <v>3185</v>
      </c>
      <c r="E38" s="35">
        <f t="shared" si="7"/>
        <v>138.16</v>
      </c>
      <c r="F38" s="36"/>
      <c r="G38" s="37">
        <f t="shared" si="8"/>
        <v>72.180000000000007</v>
      </c>
      <c r="H38" s="38">
        <f t="shared" si="9"/>
        <v>72.180000000000007</v>
      </c>
      <c r="I38" s="39">
        <v>72.180000000000007</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t="str">
        <f t="shared" si="13"/>
        <v>214</v>
      </c>
      <c r="AY38" s="42">
        <f t="shared" si="14"/>
        <v>138.16</v>
      </c>
      <c r="AZ38" s="35">
        <f t="shared" si="15"/>
        <v>72.180000000000007</v>
      </c>
      <c r="BA38" s="35">
        <f t="shared" si="16"/>
        <v>72.180000000000007</v>
      </c>
      <c r="BB38" s="35">
        <f t="shared" si="17"/>
        <v>72.180000000000007</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3087</v>
      </c>
      <c r="D39" s="2217" t="s">
        <v>3185</v>
      </c>
      <c r="E39" s="35">
        <f t="shared" si="7"/>
        <v>130.68</v>
      </c>
      <c r="F39" s="36"/>
      <c r="G39" s="37">
        <f t="shared" si="8"/>
        <v>68.27</v>
      </c>
      <c r="H39" s="38">
        <f t="shared" si="9"/>
        <v>68.27</v>
      </c>
      <c r="I39" s="39">
        <v>68.27</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t="str">
        <f t="shared" si="13"/>
        <v>301</v>
      </c>
      <c r="AY39" s="42">
        <f t="shared" si="14"/>
        <v>130.68</v>
      </c>
      <c r="AZ39" s="35">
        <f t="shared" si="15"/>
        <v>68.27</v>
      </c>
      <c r="BA39" s="35">
        <f t="shared" si="16"/>
        <v>68.27</v>
      </c>
      <c r="BB39" s="35">
        <f t="shared" si="17"/>
        <v>68.27</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3088</v>
      </c>
      <c r="D40" s="2217" t="s">
        <v>3185</v>
      </c>
      <c r="E40" s="35">
        <f t="shared" si="7"/>
        <v>100.95</v>
      </c>
      <c r="F40" s="36"/>
      <c r="G40" s="37">
        <f t="shared" si="8"/>
        <v>52.74</v>
      </c>
      <c r="H40" s="38">
        <f t="shared" si="9"/>
        <v>52.74</v>
      </c>
      <c r="I40" s="39">
        <v>52.74</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t="str">
        <f t="shared" si="13"/>
        <v>302</v>
      </c>
      <c r="AY40" s="42">
        <f t="shared" si="14"/>
        <v>100.95</v>
      </c>
      <c r="AZ40" s="35">
        <f t="shared" si="15"/>
        <v>52.74</v>
      </c>
      <c r="BA40" s="35">
        <f t="shared" si="16"/>
        <v>52.74</v>
      </c>
      <c r="BB40" s="35">
        <f t="shared" si="17"/>
        <v>52.74</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3089</v>
      </c>
      <c r="D41" s="2217" t="s">
        <v>3185</v>
      </c>
      <c r="E41" s="35">
        <f t="shared" si="7"/>
        <v>100.74</v>
      </c>
      <c r="F41" s="36"/>
      <c r="G41" s="37">
        <f t="shared" si="8"/>
        <v>52.63</v>
      </c>
      <c r="H41" s="38">
        <f t="shared" si="9"/>
        <v>52.63</v>
      </c>
      <c r="I41" s="39">
        <v>52.63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t="str">
        <f t="shared" si="13"/>
        <v>303</v>
      </c>
      <c r="AY41" s="42">
        <f t="shared" si="14"/>
        <v>100.74</v>
      </c>
      <c r="AZ41" s="35">
        <f t="shared" si="15"/>
        <v>52.63</v>
      </c>
      <c r="BA41" s="35">
        <f t="shared" si="16"/>
        <v>52.63</v>
      </c>
      <c r="BB41" s="35">
        <f t="shared" si="17"/>
        <v>52.63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3090</v>
      </c>
      <c r="D42" s="2217" t="s">
        <v>3185</v>
      </c>
      <c r="E42" s="35">
        <f t="shared" si="7"/>
        <v>101.45</v>
      </c>
      <c r="F42" s="36"/>
      <c r="G42" s="37">
        <f t="shared" si="8"/>
        <v>53</v>
      </c>
      <c r="H42" s="38">
        <f t="shared" si="9"/>
        <v>53</v>
      </c>
      <c r="I42" s="39">
        <v>53</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t="str">
        <f t="shared" si="13"/>
        <v>304</v>
      </c>
      <c r="AY42" s="42">
        <f t="shared" si="14"/>
        <v>101.45</v>
      </c>
      <c r="AZ42" s="35">
        <f t="shared" si="15"/>
        <v>53</v>
      </c>
      <c r="BA42" s="35">
        <f t="shared" si="16"/>
        <v>53</v>
      </c>
      <c r="BB42" s="35">
        <f t="shared" si="17"/>
        <v>53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3091</v>
      </c>
      <c r="D43" s="2217" t="s">
        <v>3185</v>
      </c>
      <c r="E43" s="35">
        <f t="shared" si="7"/>
        <v>125.45</v>
      </c>
      <c r="F43" s="36"/>
      <c r="G43" s="37">
        <f t="shared" si="8"/>
        <v>65.540000000000006</v>
      </c>
      <c r="H43" s="38">
        <f t="shared" si="9"/>
        <v>65.540000000000006</v>
      </c>
      <c r="I43" s="39">
        <v>65.540000000000006</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t="str">
        <f t="shared" si="13"/>
        <v>305</v>
      </c>
      <c r="AY43" s="42">
        <f t="shared" si="14"/>
        <v>125.45</v>
      </c>
      <c r="AZ43" s="35">
        <f t="shared" si="15"/>
        <v>65.540000000000006</v>
      </c>
      <c r="BA43" s="35">
        <f t="shared" si="16"/>
        <v>65.540000000000006</v>
      </c>
      <c r="BB43" s="35">
        <f t="shared" si="17"/>
        <v>65.540000000000006</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3092</v>
      </c>
      <c r="D44" s="2217" t="s">
        <v>3185</v>
      </c>
      <c r="E44" s="35">
        <f t="shared" si="7"/>
        <v>106.96</v>
      </c>
      <c r="F44" s="36"/>
      <c r="G44" s="37">
        <f t="shared" si="8"/>
        <v>55.88</v>
      </c>
      <c r="H44" s="38">
        <f t="shared" si="9"/>
        <v>55.88</v>
      </c>
      <c r="I44" s="39">
        <v>55.88</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t="str">
        <f t="shared" si="13"/>
        <v>306</v>
      </c>
      <c r="AY44" s="42">
        <f t="shared" si="14"/>
        <v>106.96</v>
      </c>
      <c r="AZ44" s="35">
        <f t="shared" si="15"/>
        <v>55.88</v>
      </c>
      <c r="BA44" s="35">
        <f t="shared" si="16"/>
        <v>55.88</v>
      </c>
      <c r="BB44" s="35">
        <f t="shared" si="17"/>
        <v>55.88</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3093</v>
      </c>
      <c r="D45" s="2217" t="s">
        <v>3185</v>
      </c>
      <c r="E45" s="35">
        <f t="shared" si="7"/>
        <v>180.87</v>
      </c>
      <c r="F45" s="36"/>
      <c r="G45" s="37">
        <f t="shared" si="8"/>
        <v>94.49</v>
      </c>
      <c r="H45" s="38">
        <f t="shared" si="9"/>
        <v>94.49</v>
      </c>
      <c r="I45" s="39">
        <v>94.49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t="str">
        <f t="shared" si="13"/>
        <v>307</v>
      </c>
      <c r="AY45" s="42">
        <f t="shared" si="14"/>
        <v>180.87</v>
      </c>
      <c r="AZ45" s="35">
        <f t="shared" si="15"/>
        <v>94.49</v>
      </c>
      <c r="BA45" s="35">
        <f t="shared" si="16"/>
        <v>94.49</v>
      </c>
      <c r="BB45" s="35">
        <f t="shared" si="17"/>
        <v>94.49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3094</v>
      </c>
      <c r="D46" s="2217" t="s">
        <v>3185</v>
      </c>
      <c r="E46" s="35">
        <f t="shared" si="7"/>
        <v>180.87</v>
      </c>
      <c r="F46" s="36"/>
      <c r="G46" s="37">
        <f t="shared" si="8"/>
        <v>94.49</v>
      </c>
      <c r="H46" s="38">
        <f t="shared" si="9"/>
        <v>94.49</v>
      </c>
      <c r="I46" s="39">
        <v>94.49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t="str">
        <f t="shared" si="13"/>
        <v>308</v>
      </c>
      <c r="AY46" s="42">
        <f t="shared" si="14"/>
        <v>180.87</v>
      </c>
      <c r="AZ46" s="35">
        <f t="shared" si="15"/>
        <v>94.49</v>
      </c>
      <c r="BA46" s="35">
        <f t="shared" si="16"/>
        <v>94.49</v>
      </c>
      <c r="BB46" s="35">
        <f t="shared" si="17"/>
        <v>94.49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3095</v>
      </c>
      <c r="D47" s="2217" t="s">
        <v>3185</v>
      </c>
      <c r="E47" s="35">
        <f t="shared" si="7"/>
        <v>106.96</v>
      </c>
      <c r="F47" s="36"/>
      <c r="G47" s="37">
        <f t="shared" si="8"/>
        <v>55.88</v>
      </c>
      <c r="H47" s="38">
        <f t="shared" si="9"/>
        <v>55.88</v>
      </c>
      <c r="I47" s="39">
        <v>55.88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t="str">
        <f t="shared" si="13"/>
        <v>309</v>
      </c>
      <c r="AY47" s="42">
        <f t="shared" si="14"/>
        <v>106.96</v>
      </c>
      <c r="AZ47" s="35">
        <f t="shared" si="15"/>
        <v>55.88</v>
      </c>
      <c r="BA47" s="35">
        <f t="shared" si="16"/>
        <v>55.88</v>
      </c>
      <c r="BB47" s="35">
        <f t="shared" si="17"/>
        <v>55.88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3096</v>
      </c>
      <c r="D48" s="2217" t="s">
        <v>3185</v>
      </c>
      <c r="E48" s="35">
        <f t="shared" si="7"/>
        <v>125.45</v>
      </c>
      <c r="F48" s="36"/>
      <c r="G48" s="37">
        <f t="shared" si="8"/>
        <v>65.540000000000006</v>
      </c>
      <c r="H48" s="38">
        <f t="shared" si="9"/>
        <v>65.540000000000006</v>
      </c>
      <c r="I48" s="39">
        <v>65.540000000000006</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t="str">
        <f t="shared" si="13"/>
        <v>310</v>
      </c>
      <c r="AY48" s="42">
        <f t="shared" si="14"/>
        <v>125.45</v>
      </c>
      <c r="AZ48" s="35">
        <f t="shared" si="15"/>
        <v>65.540000000000006</v>
      </c>
      <c r="BA48" s="35">
        <f t="shared" si="16"/>
        <v>65.540000000000006</v>
      </c>
      <c r="BB48" s="35">
        <f t="shared" si="17"/>
        <v>65.540000000000006</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3097</v>
      </c>
      <c r="D49" s="2217" t="s">
        <v>3185</v>
      </c>
      <c r="E49" s="35">
        <f t="shared" si="7"/>
        <v>101.45</v>
      </c>
      <c r="F49" s="36"/>
      <c r="G49" s="37">
        <f t="shared" si="8"/>
        <v>53</v>
      </c>
      <c r="H49" s="38">
        <f t="shared" si="9"/>
        <v>53</v>
      </c>
      <c r="I49" s="39">
        <v>53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t="str">
        <f t="shared" si="13"/>
        <v>311</v>
      </c>
      <c r="AY49" s="42">
        <f t="shared" si="14"/>
        <v>101.45</v>
      </c>
      <c r="AZ49" s="35">
        <f t="shared" si="15"/>
        <v>53</v>
      </c>
      <c r="BA49" s="35">
        <f t="shared" si="16"/>
        <v>53</v>
      </c>
      <c r="BB49" s="35">
        <f t="shared" si="17"/>
        <v>53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3098</v>
      </c>
      <c r="D50" s="2217" t="s">
        <v>3185</v>
      </c>
      <c r="E50" s="35">
        <f t="shared" si="7"/>
        <v>100.74</v>
      </c>
      <c r="F50" s="36"/>
      <c r="G50" s="37">
        <f t="shared" si="8"/>
        <v>52.63</v>
      </c>
      <c r="H50" s="38">
        <f t="shared" si="9"/>
        <v>52.63</v>
      </c>
      <c r="I50" s="39">
        <v>52.63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t="str">
        <f t="shared" si="13"/>
        <v>312</v>
      </c>
      <c r="AY50" s="42">
        <f t="shared" si="14"/>
        <v>100.74</v>
      </c>
      <c r="AZ50" s="35">
        <f t="shared" si="15"/>
        <v>52.63</v>
      </c>
      <c r="BA50" s="35">
        <f t="shared" si="16"/>
        <v>52.63</v>
      </c>
      <c r="BB50" s="35">
        <f t="shared" si="17"/>
        <v>52.63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3099</v>
      </c>
      <c r="D51" s="2217" t="s">
        <v>3185</v>
      </c>
      <c r="E51" s="35">
        <f t="shared" si="7"/>
        <v>100.95</v>
      </c>
      <c r="F51" s="36"/>
      <c r="G51" s="37">
        <f t="shared" si="8"/>
        <v>52.74</v>
      </c>
      <c r="H51" s="38">
        <f t="shared" si="9"/>
        <v>52.74</v>
      </c>
      <c r="I51" s="39">
        <v>52.74</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t="str">
        <f t="shared" si="13"/>
        <v>313</v>
      </c>
      <c r="AY51" s="42">
        <f t="shared" si="14"/>
        <v>100.95</v>
      </c>
      <c r="AZ51" s="35">
        <f t="shared" si="15"/>
        <v>52.74</v>
      </c>
      <c r="BA51" s="35">
        <f t="shared" si="16"/>
        <v>52.74</v>
      </c>
      <c r="BB51" s="35">
        <f t="shared" si="17"/>
        <v>52.74</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3100</v>
      </c>
      <c r="D52" s="2217" t="s">
        <v>3185</v>
      </c>
      <c r="E52" s="35">
        <f t="shared" si="7"/>
        <v>138.16</v>
      </c>
      <c r="F52" s="36"/>
      <c r="G52" s="37">
        <f t="shared" si="8"/>
        <v>72.180000000000007</v>
      </c>
      <c r="H52" s="38">
        <f t="shared" si="9"/>
        <v>72.180000000000007</v>
      </c>
      <c r="I52" s="39">
        <v>72.180000000000007</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t="str">
        <f t="shared" si="13"/>
        <v>314</v>
      </c>
      <c r="AY52" s="42">
        <f t="shared" si="14"/>
        <v>138.16</v>
      </c>
      <c r="AZ52" s="35">
        <f t="shared" si="15"/>
        <v>72.180000000000007</v>
      </c>
      <c r="BA52" s="35">
        <f t="shared" si="16"/>
        <v>72.180000000000007</v>
      </c>
      <c r="BB52" s="35">
        <f t="shared" si="17"/>
        <v>72.180000000000007</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3101</v>
      </c>
      <c r="D53" s="2217" t="s">
        <v>3185</v>
      </c>
      <c r="E53" s="35">
        <f t="shared" si="7"/>
        <v>130.68</v>
      </c>
      <c r="F53" s="36"/>
      <c r="G53" s="37">
        <f t="shared" si="8"/>
        <v>68.27</v>
      </c>
      <c r="H53" s="38">
        <f t="shared" si="9"/>
        <v>68.27</v>
      </c>
      <c r="I53" s="39">
        <v>68.27</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t="str">
        <f t="shared" si="13"/>
        <v>401</v>
      </c>
      <c r="AY53" s="42">
        <f t="shared" si="14"/>
        <v>130.68</v>
      </c>
      <c r="AZ53" s="35">
        <f t="shared" si="15"/>
        <v>68.27</v>
      </c>
      <c r="BA53" s="35">
        <f t="shared" si="16"/>
        <v>68.27</v>
      </c>
      <c r="BB53" s="35">
        <f t="shared" si="17"/>
        <v>68.27</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3102</v>
      </c>
      <c r="D54" s="2217" t="s">
        <v>3185</v>
      </c>
      <c r="E54" s="35">
        <f t="shared" si="7"/>
        <v>100.95</v>
      </c>
      <c r="F54" s="36"/>
      <c r="G54" s="37">
        <f t="shared" si="8"/>
        <v>52.74</v>
      </c>
      <c r="H54" s="38">
        <f t="shared" si="9"/>
        <v>52.74</v>
      </c>
      <c r="I54" s="39">
        <v>52.74</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t="str">
        <f t="shared" si="13"/>
        <v>402</v>
      </c>
      <c r="AY54" s="42">
        <f t="shared" si="14"/>
        <v>100.95</v>
      </c>
      <c r="AZ54" s="35">
        <f t="shared" si="15"/>
        <v>52.74</v>
      </c>
      <c r="BA54" s="35">
        <f t="shared" si="16"/>
        <v>52.74</v>
      </c>
      <c r="BB54" s="35">
        <f t="shared" si="17"/>
        <v>52.74</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3103</v>
      </c>
      <c r="D55" s="2217" t="s">
        <v>3185</v>
      </c>
      <c r="E55" s="35">
        <f t="shared" si="7"/>
        <v>100.74</v>
      </c>
      <c r="F55" s="36"/>
      <c r="G55" s="37">
        <f t="shared" si="8"/>
        <v>52.63</v>
      </c>
      <c r="H55" s="38">
        <f t="shared" si="9"/>
        <v>52.63</v>
      </c>
      <c r="I55" s="39">
        <v>52.63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t="str">
        <f t="shared" si="13"/>
        <v>403</v>
      </c>
      <c r="AY55" s="42">
        <f t="shared" si="14"/>
        <v>100.74</v>
      </c>
      <c r="AZ55" s="35">
        <f t="shared" si="15"/>
        <v>52.63</v>
      </c>
      <c r="BA55" s="35">
        <f t="shared" si="16"/>
        <v>52.63</v>
      </c>
      <c r="BB55" s="35">
        <f t="shared" si="17"/>
        <v>52.63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3104</v>
      </c>
      <c r="D56" s="2217" t="s">
        <v>3185</v>
      </c>
      <c r="E56" s="35">
        <f t="shared" si="7"/>
        <v>101.45</v>
      </c>
      <c r="F56" s="36"/>
      <c r="G56" s="37">
        <f t="shared" si="8"/>
        <v>53</v>
      </c>
      <c r="H56" s="38">
        <f t="shared" si="9"/>
        <v>53</v>
      </c>
      <c r="I56" s="39">
        <v>53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t="str">
        <f t="shared" si="13"/>
        <v>404</v>
      </c>
      <c r="AY56" s="42">
        <f t="shared" si="14"/>
        <v>101.45</v>
      </c>
      <c r="AZ56" s="35">
        <f t="shared" si="15"/>
        <v>53</v>
      </c>
      <c r="BA56" s="35">
        <f t="shared" si="16"/>
        <v>53</v>
      </c>
      <c r="BB56" s="35">
        <f t="shared" si="17"/>
        <v>53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3105</v>
      </c>
      <c r="D57" s="2217" t="s">
        <v>3185</v>
      </c>
      <c r="E57" s="35">
        <f t="shared" si="7"/>
        <v>125.45</v>
      </c>
      <c r="F57" s="36"/>
      <c r="G57" s="37">
        <f t="shared" si="8"/>
        <v>65.540000000000006</v>
      </c>
      <c r="H57" s="38">
        <f t="shared" si="9"/>
        <v>65.540000000000006</v>
      </c>
      <c r="I57" s="39">
        <v>65.540000000000006</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t="str">
        <f t="shared" si="13"/>
        <v>405</v>
      </c>
      <c r="AY57" s="42">
        <f t="shared" si="14"/>
        <v>125.45</v>
      </c>
      <c r="AZ57" s="35">
        <f t="shared" si="15"/>
        <v>65.540000000000006</v>
      </c>
      <c r="BA57" s="35">
        <f t="shared" si="16"/>
        <v>65.540000000000006</v>
      </c>
      <c r="BB57" s="35">
        <f t="shared" si="17"/>
        <v>65.540000000000006</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3106</v>
      </c>
      <c r="D58" s="2217" t="s">
        <v>3185</v>
      </c>
      <c r="E58" s="35">
        <f t="shared" si="7"/>
        <v>106.96</v>
      </c>
      <c r="F58" s="36"/>
      <c r="G58" s="37">
        <f t="shared" si="8"/>
        <v>55.88</v>
      </c>
      <c r="H58" s="38">
        <f t="shared" si="9"/>
        <v>55.88</v>
      </c>
      <c r="I58" s="39">
        <v>55.88</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t="str">
        <f t="shared" si="13"/>
        <v>406</v>
      </c>
      <c r="AY58" s="42">
        <f t="shared" si="14"/>
        <v>106.96</v>
      </c>
      <c r="AZ58" s="35">
        <f t="shared" si="15"/>
        <v>55.88</v>
      </c>
      <c r="BA58" s="35">
        <f t="shared" si="16"/>
        <v>55.88</v>
      </c>
      <c r="BB58" s="35">
        <f t="shared" si="17"/>
        <v>55.88</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3107</v>
      </c>
      <c r="D59" s="2217" t="s">
        <v>3185</v>
      </c>
      <c r="E59" s="35">
        <f t="shared" si="7"/>
        <v>180.87</v>
      </c>
      <c r="F59" s="36"/>
      <c r="G59" s="37">
        <f t="shared" si="8"/>
        <v>94.49</v>
      </c>
      <c r="H59" s="38">
        <f t="shared" si="9"/>
        <v>94.49</v>
      </c>
      <c r="I59" s="39">
        <v>94.49</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t="str">
        <f t="shared" si="13"/>
        <v>407</v>
      </c>
      <c r="AY59" s="42">
        <f t="shared" si="14"/>
        <v>180.87</v>
      </c>
      <c r="AZ59" s="35">
        <f t="shared" si="15"/>
        <v>94.49</v>
      </c>
      <c r="BA59" s="35">
        <f t="shared" si="16"/>
        <v>94.49</v>
      </c>
      <c r="BB59" s="35">
        <f t="shared" si="17"/>
        <v>94.49</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3108</v>
      </c>
      <c r="D60" s="2217" t="s">
        <v>3185</v>
      </c>
      <c r="E60" s="35">
        <f t="shared" si="7"/>
        <v>180.87</v>
      </c>
      <c r="F60" s="36"/>
      <c r="G60" s="37">
        <f t="shared" si="8"/>
        <v>94.49</v>
      </c>
      <c r="H60" s="38">
        <f t="shared" si="9"/>
        <v>94.49</v>
      </c>
      <c r="I60" s="39">
        <v>94.49</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t="str">
        <f t="shared" si="13"/>
        <v>408</v>
      </c>
      <c r="AY60" s="42">
        <f t="shared" si="14"/>
        <v>180.87</v>
      </c>
      <c r="AZ60" s="35">
        <f t="shared" si="15"/>
        <v>94.49</v>
      </c>
      <c r="BA60" s="35">
        <f t="shared" si="16"/>
        <v>94.49</v>
      </c>
      <c r="BB60" s="35">
        <f t="shared" si="17"/>
        <v>94.49</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3109</v>
      </c>
      <c r="D61" s="2217" t="s">
        <v>3185</v>
      </c>
      <c r="E61" s="35">
        <f t="shared" si="7"/>
        <v>106.96</v>
      </c>
      <c r="F61" s="36"/>
      <c r="G61" s="37">
        <f t="shared" si="8"/>
        <v>55.88</v>
      </c>
      <c r="H61" s="38">
        <f t="shared" si="9"/>
        <v>55.88</v>
      </c>
      <c r="I61" s="39">
        <v>55.88</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t="str">
        <f t="shared" si="13"/>
        <v>409</v>
      </c>
      <c r="AY61" s="42">
        <f t="shared" si="14"/>
        <v>106.96</v>
      </c>
      <c r="AZ61" s="35">
        <f t="shared" si="15"/>
        <v>55.88</v>
      </c>
      <c r="BA61" s="35">
        <f t="shared" si="16"/>
        <v>55.88</v>
      </c>
      <c r="BB61" s="35">
        <f t="shared" si="17"/>
        <v>55.88</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3110</v>
      </c>
      <c r="D62" s="2217" t="s">
        <v>3185</v>
      </c>
      <c r="E62" s="35">
        <f t="shared" si="7"/>
        <v>125.45</v>
      </c>
      <c r="F62" s="36"/>
      <c r="G62" s="37">
        <f t="shared" si="8"/>
        <v>65.540000000000006</v>
      </c>
      <c r="H62" s="38">
        <f t="shared" si="9"/>
        <v>65.540000000000006</v>
      </c>
      <c r="I62" s="39">
        <v>65.540000000000006</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t="str">
        <f t="shared" si="13"/>
        <v>410</v>
      </c>
      <c r="AY62" s="42">
        <f t="shared" si="14"/>
        <v>125.45</v>
      </c>
      <c r="AZ62" s="35">
        <f t="shared" si="15"/>
        <v>65.540000000000006</v>
      </c>
      <c r="BA62" s="35">
        <f t="shared" si="16"/>
        <v>65.540000000000006</v>
      </c>
      <c r="BB62" s="35">
        <f t="shared" si="17"/>
        <v>65.540000000000006</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3111</v>
      </c>
      <c r="D63" s="2217" t="s">
        <v>3185</v>
      </c>
      <c r="E63" s="35">
        <f t="shared" si="7"/>
        <v>101.45</v>
      </c>
      <c r="F63" s="36"/>
      <c r="G63" s="37">
        <f t="shared" si="8"/>
        <v>53</v>
      </c>
      <c r="H63" s="38">
        <f t="shared" si="9"/>
        <v>53</v>
      </c>
      <c r="I63" s="39">
        <v>53</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t="str">
        <f t="shared" si="13"/>
        <v>411</v>
      </c>
      <c r="AY63" s="42">
        <f t="shared" si="14"/>
        <v>101.45</v>
      </c>
      <c r="AZ63" s="35">
        <f t="shared" si="15"/>
        <v>53</v>
      </c>
      <c r="BA63" s="35">
        <f t="shared" si="16"/>
        <v>53</v>
      </c>
      <c r="BB63" s="35">
        <f t="shared" si="17"/>
        <v>53</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3112</v>
      </c>
      <c r="D64" s="2217" t="s">
        <v>3185</v>
      </c>
      <c r="E64" s="35">
        <f t="shared" si="7"/>
        <v>100.74</v>
      </c>
      <c r="F64" s="36"/>
      <c r="G64" s="37">
        <f t="shared" si="8"/>
        <v>52.63</v>
      </c>
      <c r="H64" s="38">
        <f t="shared" si="9"/>
        <v>52.63</v>
      </c>
      <c r="I64" s="39">
        <v>52.63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t="str">
        <f t="shared" si="13"/>
        <v>412</v>
      </c>
      <c r="AY64" s="42">
        <f t="shared" si="14"/>
        <v>100.74</v>
      </c>
      <c r="AZ64" s="35">
        <f t="shared" si="15"/>
        <v>52.63</v>
      </c>
      <c r="BA64" s="35">
        <f t="shared" si="16"/>
        <v>52.63</v>
      </c>
      <c r="BB64" s="35">
        <f t="shared" si="17"/>
        <v>52.63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3113</v>
      </c>
      <c r="D65" s="2217" t="s">
        <v>3185</v>
      </c>
      <c r="E65" s="35">
        <f t="shared" si="7"/>
        <v>100.95</v>
      </c>
      <c r="F65" s="36"/>
      <c r="G65" s="37">
        <f t="shared" si="8"/>
        <v>52.74</v>
      </c>
      <c r="H65" s="38">
        <f t="shared" si="9"/>
        <v>52.74</v>
      </c>
      <c r="I65" s="39">
        <v>52.74</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t="str">
        <f t="shared" si="13"/>
        <v>413</v>
      </c>
      <c r="AY65" s="42">
        <f t="shared" si="14"/>
        <v>100.95</v>
      </c>
      <c r="AZ65" s="35">
        <f t="shared" si="15"/>
        <v>52.74</v>
      </c>
      <c r="BA65" s="35">
        <f t="shared" si="16"/>
        <v>52.74</v>
      </c>
      <c r="BB65" s="35">
        <f t="shared" si="17"/>
        <v>52.74</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3114</v>
      </c>
      <c r="D66" s="2217" t="s">
        <v>3185</v>
      </c>
      <c r="E66" s="35">
        <f t="shared" si="7"/>
        <v>138.16</v>
      </c>
      <c r="F66" s="36"/>
      <c r="G66" s="37">
        <f t="shared" si="8"/>
        <v>72.180000000000007</v>
      </c>
      <c r="H66" s="38">
        <f t="shared" si="9"/>
        <v>72.180000000000007</v>
      </c>
      <c r="I66" s="39">
        <v>72.180000000000007</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t="str">
        <f t="shared" si="13"/>
        <v>414</v>
      </c>
      <c r="AY66" s="42">
        <f t="shared" si="14"/>
        <v>138.16</v>
      </c>
      <c r="AZ66" s="35">
        <f t="shared" si="15"/>
        <v>72.180000000000007</v>
      </c>
      <c r="BA66" s="35">
        <f t="shared" si="16"/>
        <v>72.180000000000007</v>
      </c>
      <c r="BB66" s="35">
        <f t="shared" si="17"/>
        <v>72.180000000000007</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3115</v>
      </c>
      <c r="D67" s="2217" t="s">
        <v>3185</v>
      </c>
      <c r="E67" s="35">
        <f t="shared" si="7"/>
        <v>130.68</v>
      </c>
      <c r="F67" s="36"/>
      <c r="G67" s="37">
        <f t="shared" si="8"/>
        <v>68.27</v>
      </c>
      <c r="H67" s="38">
        <f t="shared" si="9"/>
        <v>68.27</v>
      </c>
      <c r="I67" s="39">
        <v>68.27</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t="str">
        <f t="shared" si="13"/>
        <v>501</v>
      </c>
      <c r="AY67" s="42">
        <f t="shared" si="14"/>
        <v>130.68</v>
      </c>
      <c r="AZ67" s="35">
        <f t="shared" si="15"/>
        <v>68.27</v>
      </c>
      <c r="BA67" s="35">
        <f t="shared" si="16"/>
        <v>68.27</v>
      </c>
      <c r="BB67" s="35">
        <f t="shared" si="17"/>
        <v>68.27</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3116</v>
      </c>
      <c r="D68" s="2217" t="s">
        <v>3185</v>
      </c>
      <c r="E68" s="35">
        <f t="shared" si="7"/>
        <v>100.95</v>
      </c>
      <c r="F68" s="36"/>
      <c r="G68" s="37">
        <f t="shared" si="8"/>
        <v>52.74</v>
      </c>
      <c r="H68" s="38">
        <f t="shared" si="9"/>
        <v>52.74</v>
      </c>
      <c r="I68" s="39">
        <v>52.74</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t="str">
        <f t="shared" si="13"/>
        <v>502</v>
      </c>
      <c r="AY68" s="42">
        <f t="shared" si="14"/>
        <v>100.95</v>
      </c>
      <c r="AZ68" s="35">
        <f t="shared" si="15"/>
        <v>52.74</v>
      </c>
      <c r="BA68" s="35">
        <f t="shared" si="16"/>
        <v>52.74</v>
      </c>
      <c r="BB68" s="35">
        <f t="shared" si="17"/>
        <v>52.74</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3117</v>
      </c>
      <c r="D69" s="2217" t="s">
        <v>3185</v>
      </c>
      <c r="E69" s="35">
        <f t="shared" si="7"/>
        <v>100.74</v>
      </c>
      <c r="F69" s="36"/>
      <c r="G69" s="37">
        <f t="shared" si="8"/>
        <v>52.63</v>
      </c>
      <c r="H69" s="38">
        <f t="shared" si="9"/>
        <v>52.63</v>
      </c>
      <c r="I69" s="39">
        <v>52.63</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t="str">
        <f t="shared" si="13"/>
        <v>503</v>
      </c>
      <c r="AY69" s="42">
        <f t="shared" si="14"/>
        <v>100.74</v>
      </c>
      <c r="AZ69" s="35">
        <f t="shared" si="15"/>
        <v>52.63</v>
      </c>
      <c r="BA69" s="35">
        <f t="shared" si="16"/>
        <v>52.63</v>
      </c>
      <c r="BB69" s="35">
        <f t="shared" si="17"/>
        <v>52.63</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3118</v>
      </c>
      <c r="D70" s="2217" t="s">
        <v>3185</v>
      </c>
      <c r="E70" s="35">
        <f t="shared" si="7"/>
        <v>101.45</v>
      </c>
      <c r="F70" s="36"/>
      <c r="G70" s="37">
        <f t="shared" si="8"/>
        <v>53</v>
      </c>
      <c r="H70" s="38">
        <f t="shared" si="9"/>
        <v>53</v>
      </c>
      <c r="I70" s="39">
        <v>53</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t="str">
        <f t="shared" si="13"/>
        <v>504</v>
      </c>
      <c r="AY70" s="42">
        <f t="shared" si="14"/>
        <v>101.45</v>
      </c>
      <c r="AZ70" s="35">
        <f t="shared" si="15"/>
        <v>53</v>
      </c>
      <c r="BA70" s="35">
        <f t="shared" si="16"/>
        <v>53</v>
      </c>
      <c r="BB70" s="35">
        <f t="shared" si="17"/>
        <v>53</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3119</v>
      </c>
      <c r="D71" s="2217" t="s">
        <v>3185</v>
      </c>
      <c r="E71" s="35">
        <f t="shared" si="7"/>
        <v>125.45</v>
      </c>
      <c r="F71" s="36"/>
      <c r="G71" s="37">
        <f t="shared" si="8"/>
        <v>65.540000000000006</v>
      </c>
      <c r="H71" s="38">
        <f t="shared" si="9"/>
        <v>65.540000000000006</v>
      </c>
      <c r="I71" s="39">
        <v>65.540000000000006</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t="str">
        <f t="shared" si="13"/>
        <v>505</v>
      </c>
      <c r="AY71" s="42">
        <f t="shared" si="14"/>
        <v>125.45</v>
      </c>
      <c r="AZ71" s="35">
        <f t="shared" si="15"/>
        <v>65.540000000000006</v>
      </c>
      <c r="BA71" s="35">
        <f t="shared" si="16"/>
        <v>65.540000000000006</v>
      </c>
      <c r="BB71" s="35">
        <f t="shared" si="17"/>
        <v>65.540000000000006</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3120</v>
      </c>
      <c r="D72" s="2217" t="s">
        <v>3185</v>
      </c>
      <c r="E72" s="35">
        <f t="shared" si="7"/>
        <v>106.96</v>
      </c>
      <c r="F72" s="36"/>
      <c r="G72" s="37">
        <f t="shared" si="8"/>
        <v>55.88</v>
      </c>
      <c r="H72" s="38">
        <f t="shared" si="9"/>
        <v>55.88</v>
      </c>
      <c r="I72" s="39">
        <v>55.88</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t="str">
        <f t="shared" si="13"/>
        <v>506</v>
      </c>
      <c r="AY72" s="42">
        <f t="shared" si="14"/>
        <v>106.96</v>
      </c>
      <c r="AZ72" s="35">
        <f t="shared" si="15"/>
        <v>55.88</v>
      </c>
      <c r="BA72" s="35">
        <f t="shared" si="16"/>
        <v>55.88</v>
      </c>
      <c r="BB72" s="35">
        <f t="shared" si="17"/>
        <v>55.88</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3121</v>
      </c>
      <c r="D73" s="2217" t="s">
        <v>3185</v>
      </c>
      <c r="E73" s="35">
        <f t="shared" si="7"/>
        <v>180.87</v>
      </c>
      <c r="F73" s="36"/>
      <c r="G73" s="37">
        <f t="shared" si="8"/>
        <v>94.49</v>
      </c>
      <c r="H73" s="38">
        <f t="shared" si="9"/>
        <v>94.49</v>
      </c>
      <c r="I73" s="39">
        <v>94.49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t="str">
        <f t="shared" si="13"/>
        <v>507</v>
      </c>
      <c r="AY73" s="42">
        <f t="shared" si="14"/>
        <v>180.87</v>
      </c>
      <c r="AZ73" s="35">
        <f t="shared" si="15"/>
        <v>94.49</v>
      </c>
      <c r="BA73" s="35">
        <f t="shared" si="16"/>
        <v>94.49</v>
      </c>
      <c r="BB73" s="35">
        <f t="shared" si="17"/>
        <v>94.49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3122</v>
      </c>
      <c r="D74" s="2217" t="s">
        <v>3185</v>
      </c>
      <c r="E74" s="35">
        <f t="shared" si="7"/>
        <v>180.87</v>
      </c>
      <c r="F74" s="36"/>
      <c r="G74" s="37">
        <f t="shared" si="8"/>
        <v>94.49</v>
      </c>
      <c r="H74" s="38">
        <f t="shared" si="9"/>
        <v>94.49</v>
      </c>
      <c r="I74" s="39">
        <v>94.49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t="str">
        <f t="shared" si="13"/>
        <v>508</v>
      </c>
      <c r="AY74" s="42">
        <f t="shared" si="14"/>
        <v>180.87</v>
      </c>
      <c r="AZ74" s="35">
        <f t="shared" si="15"/>
        <v>94.49</v>
      </c>
      <c r="BA74" s="35">
        <f t="shared" si="16"/>
        <v>94.49</v>
      </c>
      <c r="BB74" s="35">
        <f t="shared" si="17"/>
        <v>94.49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3123</v>
      </c>
      <c r="D75" s="2217" t="s">
        <v>3185</v>
      </c>
      <c r="E75" s="35">
        <f t="shared" si="7"/>
        <v>106.96</v>
      </c>
      <c r="F75" s="36"/>
      <c r="G75" s="37">
        <f t="shared" si="8"/>
        <v>55.88</v>
      </c>
      <c r="H75" s="38">
        <f t="shared" si="9"/>
        <v>55.88</v>
      </c>
      <c r="I75" s="39">
        <v>55.88</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t="str">
        <f t="shared" si="13"/>
        <v>509</v>
      </c>
      <c r="AY75" s="42">
        <f t="shared" si="14"/>
        <v>106.96</v>
      </c>
      <c r="AZ75" s="35">
        <f t="shared" si="15"/>
        <v>55.88</v>
      </c>
      <c r="BA75" s="35">
        <f t="shared" si="16"/>
        <v>55.88</v>
      </c>
      <c r="BB75" s="35">
        <f t="shared" si="17"/>
        <v>55.88</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3124</v>
      </c>
      <c r="D76" s="2217" t="s">
        <v>3185</v>
      </c>
      <c r="E76" s="35">
        <f t="shared" si="7"/>
        <v>125.45</v>
      </c>
      <c r="F76" s="36"/>
      <c r="G76" s="37">
        <f t="shared" si="8"/>
        <v>65.540000000000006</v>
      </c>
      <c r="H76" s="38">
        <f t="shared" si="9"/>
        <v>65.540000000000006</v>
      </c>
      <c r="I76" s="39">
        <v>65.540000000000006</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t="str">
        <f t="shared" si="13"/>
        <v>510</v>
      </c>
      <c r="AY76" s="42">
        <f t="shared" si="14"/>
        <v>125.45</v>
      </c>
      <c r="AZ76" s="35">
        <f t="shared" si="15"/>
        <v>65.540000000000006</v>
      </c>
      <c r="BA76" s="35">
        <f t="shared" si="16"/>
        <v>65.540000000000006</v>
      </c>
      <c r="BB76" s="35">
        <f t="shared" si="17"/>
        <v>65.540000000000006</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3125</v>
      </c>
      <c r="D77" s="2217" t="s">
        <v>3185</v>
      </c>
      <c r="E77" s="35">
        <f t="shared" si="7"/>
        <v>101.45</v>
      </c>
      <c r="F77" s="36"/>
      <c r="G77" s="37">
        <f t="shared" si="8"/>
        <v>53</v>
      </c>
      <c r="H77" s="38">
        <f t="shared" si="9"/>
        <v>53</v>
      </c>
      <c r="I77" s="39">
        <v>53</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t="str">
        <f t="shared" si="13"/>
        <v>511</v>
      </c>
      <c r="AY77" s="42">
        <f t="shared" si="14"/>
        <v>101.45</v>
      </c>
      <c r="AZ77" s="35">
        <f t="shared" si="15"/>
        <v>53</v>
      </c>
      <c r="BA77" s="35">
        <f t="shared" si="16"/>
        <v>53</v>
      </c>
      <c r="BB77" s="35">
        <f t="shared" si="17"/>
        <v>53</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3126</v>
      </c>
      <c r="D78" s="2217" t="s">
        <v>3185</v>
      </c>
      <c r="E78" s="35">
        <f t="shared" si="7"/>
        <v>100.74</v>
      </c>
      <c r="F78" s="36"/>
      <c r="G78" s="37">
        <f t="shared" si="8"/>
        <v>52.63</v>
      </c>
      <c r="H78" s="38">
        <f t="shared" si="9"/>
        <v>52.63</v>
      </c>
      <c r="I78" s="39">
        <v>52.63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t="str">
        <f t="shared" si="13"/>
        <v>512</v>
      </c>
      <c r="AY78" s="42">
        <f t="shared" si="14"/>
        <v>100.74</v>
      </c>
      <c r="AZ78" s="35">
        <f t="shared" si="15"/>
        <v>52.63</v>
      </c>
      <c r="BA78" s="35">
        <f t="shared" si="16"/>
        <v>52.63</v>
      </c>
      <c r="BB78" s="35">
        <f t="shared" si="17"/>
        <v>52.63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3127</v>
      </c>
      <c r="D79" s="2217" t="s">
        <v>3185</v>
      </c>
      <c r="E79" s="35">
        <f t="shared" si="7"/>
        <v>100.95</v>
      </c>
      <c r="F79" s="36"/>
      <c r="G79" s="37">
        <f t="shared" si="8"/>
        <v>52.74</v>
      </c>
      <c r="H79" s="38">
        <f t="shared" si="9"/>
        <v>52.74</v>
      </c>
      <c r="I79" s="39">
        <v>52.74</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t="str">
        <f t="shared" si="13"/>
        <v>513</v>
      </c>
      <c r="AY79" s="42">
        <f t="shared" si="14"/>
        <v>100.95</v>
      </c>
      <c r="AZ79" s="35">
        <f t="shared" si="15"/>
        <v>52.74</v>
      </c>
      <c r="BA79" s="35">
        <f t="shared" si="16"/>
        <v>52.74</v>
      </c>
      <c r="BB79" s="35">
        <f t="shared" si="17"/>
        <v>52.74</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3128</v>
      </c>
      <c r="D80" s="2217" t="s">
        <v>3185</v>
      </c>
      <c r="E80" s="35">
        <f t="shared" si="7"/>
        <v>138.16</v>
      </c>
      <c r="F80" s="36"/>
      <c r="G80" s="37">
        <f t="shared" si="8"/>
        <v>72.180000000000007</v>
      </c>
      <c r="H80" s="38">
        <f t="shared" si="9"/>
        <v>72.180000000000007</v>
      </c>
      <c r="I80" s="39">
        <v>72.180000000000007</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t="str">
        <f t="shared" si="13"/>
        <v>514</v>
      </c>
      <c r="AY80" s="42">
        <f t="shared" si="14"/>
        <v>138.16</v>
      </c>
      <c r="AZ80" s="35">
        <f t="shared" si="15"/>
        <v>72.180000000000007</v>
      </c>
      <c r="BA80" s="35">
        <f t="shared" si="16"/>
        <v>72.180000000000007</v>
      </c>
      <c r="BB80" s="35">
        <f t="shared" si="17"/>
        <v>72.180000000000007</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3129</v>
      </c>
      <c r="D81" s="2217" t="s">
        <v>3185</v>
      </c>
      <c r="E81" s="35">
        <f t="shared" si="7"/>
        <v>130.68</v>
      </c>
      <c r="F81" s="36"/>
      <c r="G81" s="37">
        <f t="shared" si="8"/>
        <v>68.27</v>
      </c>
      <c r="H81" s="38">
        <f t="shared" si="9"/>
        <v>68.27</v>
      </c>
      <c r="I81" s="39">
        <v>68.27</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t="str">
        <f t="shared" si="13"/>
        <v>601</v>
      </c>
      <c r="AY81" s="42">
        <f t="shared" si="14"/>
        <v>130.68</v>
      </c>
      <c r="AZ81" s="35">
        <f t="shared" si="15"/>
        <v>68.27</v>
      </c>
      <c r="BA81" s="35">
        <f t="shared" si="16"/>
        <v>68.27</v>
      </c>
      <c r="BB81" s="35">
        <f t="shared" si="17"/>
        <v>68.27</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3130</v>
      </c>
      <c r="D82" s="2217" t="s">
        <v>3185</v>
      </c>
      <c r="E82" s="35">
        <f t="shared" si="7"/>
        <v>100.95</v>
      </c>
      <c r="F82" s="36"/>
      <c r="G82" s="37">
        <f t="shared" si="8"/>
        <v>52.74</v>
      </c>
      <c r="H82" s="38">
        <f t="shared" si="9"/>
        <v>52.74</v>
      </c>
      <c r="I82" s="39">
        <v>52.74</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t="str">
        <f t="shared" si="13"/>
        <v>602</v>
      </c>
      <c r="AY82" s="42">
        <f t="shared" si="14"/>
        <v>100.95</v>
      </c>
      <c r="AZ82" s="35">
        <f t="shared" si="15"/>
        <v>52.74</v>
      </c>
      <c r="BA82" s="35">
        <f t="shared" si="16"/>
        <v>52.74</v>
      </c>
      <c r="BB82" s="35">
        <f t="shared" si="17"/>
        <v>52.74</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3131</v>
      </c>
      <c r="D83" s="2217" t="s">
        <v>3185</v>
      </c>
      <c r="E83" s="35">
        <f t="shared" si="7"/>
        <v>100.74</v>
      </c>
      <c r="F83" s="36"/>
      <c r="G83" s="37">
        <f t="shared" si="8"/>
        <v>52.63</v>
      </c>
      <c r="H83" s="38">
        <f t="shared" si="9"/>
        <v>52.63</v>
      </c>
      <c r="I83" s="39">
        <v>52.63</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t="str">
        <f t="shared" si="13"/>
        <v>603</v>
      </c>
      <c r="AY83" s="42">
        <f t="shared" si="14"/>
        <v>100.74</v>
      </c>
      <c r="AZ83" s="35">
        <f t="shared" si="15"/>
        <v>52.63</v>
      </c>
      <c r="BA83" s="35">
        <f t="shared" si="16"/>
        <v>52.63</v>
      </c>
      <c r="BB83" s="35">
        <f t="shared" si="17"/>
        <v>52.63</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3132</v>
      </c>
      <c r="D84" s="2217" t="s">
        <v>3185</v>
      </c>
      <c r="E84" s="35">
        <f t="shared" si="7"/>
        <v>101.45</v>
      </c>
      <c r="F84" s="36"/>
      <c r="G84" s="37">
        <f t="shared" si="8"/>
        <v>53</v>
      </c>
      <c r="H84" s="38">
        <f t="shared" si="9"/>
        <v>53</v>
      </c>
      <c r="I84" s="39">
        <v>53</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t="str">
        <f t="shared" si="13"/>
        <v>604</v>
      </c>
      <c r="AY84" s="42">
        <f t="shared" si="14"/>
        <v>101.45</v>
      </c>
      <c r="AZ84" s="35">
        <f t="shared" si="15"/>
        <v>53</v>
      </c>
      <c r="BA84" s="35">
        <f t="shared" si="16"/>
        <v>53</v>
      </c>
      <c r="BB84" s="35">
        <f t="shared" si="17"/>
        <v>53</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3133</v>
      </c>
      <c r="D85" s="2217" t="s">
        <v>3185</v>
      </c>
      <c r="E85" s="35">
        <f t="shared" si="7"/>
        <v>125.45</v>
      </c>
      <c r="F85" s="36"/>
      <c r="G85" s="37">
        <f t="shared" si="8"/>
        <v>65.540000000000006</v>
      </c>
      <c r="H85" s="38">
        <f t="shared" si="9"/>
        <v>65.540000000000006</v>
      </c>
      <c r="I85" s="39">
        <v>65.540000000000006</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t="str">
        <f t="shared" si="13"/>
        <v>605</v>
      </c>
      <c r="AY85" s="42">
        <f t="shared" si="14"/>
        <v>125.45</v>
      </c>
      <c r="AZ85" s="35">
        <f t="shared" si="15"/>
        <v>65.540000000000006</v>
      </c>
      <c r="BA85" s="35">
        <f t="shared" si="16"/>
        <v>65.540000000000006</v>
      </c>
      <c r="BB85" s="35">
        <f t="shared" si="17"/>
        <v>65.540000000000006</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3134</v>
      </c>
      <c r="D86" s="2217" t="s">
        <v>3185</v>
      </c>
      <c r="E86" s="35">
        <f t="shared" si="7"/>
        <v>106.96</v>
      </c>
      <c r="F86" s="36"/>
      <c r="G86" s="37">
        <f t="shared" si="8"/>
        <v>55.88</v>
      </c>
      <c r="H86" s="38">
        <f t="shared" si="9"/>
        <v>55.88</v>
      </c>
      <c r="I86" s="39">
        <v>55.88</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t="str">
        <f t="shared" si="13"/>
        <v>606</v>
      </c>
      <c r="AY86" s="42">
        <f t="shared" si="14"/>
        <v>106.96</v>
      </c>
      <c r="AZ86" s="35">
        <f t="shared" si="15"/>
        <v>55.88</v>
      </c>
      <c r="BA86" s="35">
        <f t="shared" si="16"/>
        <v>55.88</v>
      </c>
      <c r="BB86" s="35">
        <f t="shared" si="17"/>
        <v>55.88</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3135</v>
      </c>
      <c r="D87" s="2217" t="s">
        <v>3185</v>
      </c>
      <c r="E87" s="35">
        <f t="shared" si="7"/>
        <v>180.87</v>
      </c>
      <c r="F87" s="36"/>
      <c r="G87" s="37">
        <f t="shared" si="8"/>
        <v>94.49</v>
      </c>
      <c r="H87" s="38">
        <f t="shared" si="9"/>
        <v>94.49</v>
      </c>
      <c r="I87" s="39">
        <v>94.49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t="str">
        <f t="shared" si="13"/>
        <v>607</v>
      </c>
      <c r="AY87" s="42">
        <f t="shared" si="14"/>
        <v>180.87</v>
      </c>
      <c r="AZ87" s="35">
        <f t="shared" si="15"/>
        <v>94.49</v>
      </c>
      <c r="BA87" s="35">
        <f t="shared" si="16"/>
        <v>94.49</v>
      </c>
      <c r="BB87" s="35">
        <f t="shared" si="17"/>
        <v>94.49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3136</v>
      </c>
      <c r="D88" s="2217" t="s">
        <v>3185</v>
      </c>
      <c r="E88" s="35">
        <f t="shared" si="7"/>
        <v>180.87</v>
      </c>
      <c r="F88" s="36"/>
      <c r="G88" s="37">
        <f t="shared" si="8"/>
        <v>94.49</v>
      </c>
      <c r="H88" s="38">
        <f t="shared" si="9"/>
        <v>94.49</v>
      </c>
      <c r="I88" s="39">
        <v>94.49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t="str">
        <f t="shared" si="13"/>
        <v>608</v>
      </c>
      <c r="AY88" s="42">
        <f t="shared" si="14"/>
        <v>180.87</v>
      </c>
      <c r="AZ88" s="35">
        <f t="shared" si="15"/>
        <v>94.49</v>
      </c>
      <c r="BA88" s="35">
        <f t="shared" si="16"/>
        <v>94.49</v>
      </c>
      <c r="BB88" s="35">
        <f t="shared" si="17"/>
        <v>94.49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3137</v>
      </c>
      <c r="D89" s="2217" t="s">
        <v>3185</v>
      </c>
      <c r="E89" s="35">
        <f t="shared" si="7"/>
        <v>106.96</v>
      </c>
      <c r="F89" s="36"/>
      <c r="G89" s="37">
        <f t="shared" si="8"/>
        <v>55.88</v>
      </c>
      <c r="H89" s="38">
        <f t="shared" si="9"/>
        <v>55.88</v>
      </c>
      <c r="I89" s="39">
        <v>55.88</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t="str">
        <f t="shared" si="13"/>
        <v>609</v>
      </c>
      <c r="AY89" s="42">
        <f t="shared" si="14"/>
        <v>106.96</v>
      </c>
      <c r="AZ89" s="35">
        <f t="shared" si="15"/>
        <v>55.88</v>
      </c>
      <c r="BA89" s="35">
        <f t="shared" si="16"/>
        <v>55.88</v>
      </c>
      <c r="BB89" s="35">
        <f t="shared" si="17"/>
        <v>55.88</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3138</v>
      </c>
      <c r="D90" s="2217" t="s">
        <v>3185</v>
      </c>
      <c r="E90" s="35">
        <f t="shared" si="7"/>
        <v>125.45</v>
      </c>
      <c r="F90" s="36"/>
      <c r="G90" s="37">
        <f t="shared" si="8"/>
        <v>65.540000000000006</v>
      </c>
      <c r="H90" s="38">
        <f t="shared" si="9"/>
        <v>65.540000000000006</v>
      </c>
      <c r="I90" s="39">
        <v>65.540000000000006</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t="str">
        <f t="shared" si="13"/>
        <v>610</v>
      </c>
      <c r="AY90" s="42">
        <f t="shared" si="14"/>
        <v>125.45</v>
      </c>
      <c r="AZ90" s="35">
        <f t="shared" si="15"/>
        <v>65.540000000000006</v>
      </c>
      <c r="BA90" s="35">
        <f t="shared" si="16"/>
        <v>65.540000000000006</v>
      </c>
      <c r="BB90" s="35">
        <f t="shared" si="17"/>
        <v>65.540000000000006</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3139</v>
      </c>
      <c r="D91" s="2217" t="s">
        <v>3185</v>
      </c>
      <c r="E91" s="35">
        <f t="shared" si="7"/>
        <v>101.45</v>
      </c>
      <c r="F91" s="36"/>
      <c r="G91" s="37">
        <f t="shared" si="8"/>
        <v>53</v>
      </c>
      <c r="H91" s="38">
        <f t="shared" si="9"/>
        <v>53</v>
      </c>
      <c r="I91" s="39">
        <v>53</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t="str">
        <f t="shared" si="13"/>
        <v>611</v>
      </c>
      <c r="AY91" s="42">
        <f t="shared" si="14"/>
        <v>101.45</v>
      </c>
      <c r="AZ91" s="35">
        <f t="shared" si="15"/>
        <v>53</v>
      </c>
      <c r="BA91" s="35">
        <f t="shared" si="16"/>
        <v>53</v>
      </c>
      <c r="BB91" s="35">
        <f t="shared" si="17"/>
        <v>53</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3140</v>
      </c>
      <c r="D92" s="2217" t="s">
        <v>3186</v>
      </c>
      <c r="E92" s="35">
        <f t="shared" si="7"/>
        <v>100.74</v>
      </c>
      <c r="F92" s="36"/>
      <c r="G92" s="37">
        <f t="shared" si="8"/>
        <v>52.63</v>
      </c>
      <c r="H92" s="38">
        <f t="shared" si="9"/>
        <v>52.63</v>
      </c>
      <c r="I92" s="39">
        <v>52.63</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t="str">
        <f t="shared" si="13"/>
        <v>612</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3141</v>
      </c>
      <c r="D93" s="2217" t="s">
        <v>3185</v>
      </c>
      <c r="E93" s="35">
        <f t="shared" si="7"/>
        <v>100.95</v>
      </c>
      <c r="F93" s="36"/>
      <c r="G93" s="37">
        <f t="shared" si="8"/>
        <v>52.74</v>
      </c>
      <c r="H93" s="38">
        <f t="shared" si="9"/>
        <v>52.74</v>
      </c>
      <c r="I93" s="39">
        <v>52.74</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t="str">
        <f t="shared" si="13"/>
        <v>613</v>
      </c>
      <c r="AY93" s="42">
        <f t="shared" si="14"/>
        <v>100.95</v>
      </c>
      <c r="AZ93" s="35">
        <f t="shared" si="15"/>
        <v>52.74</v>
      </c>
      <c r="BA93" s="35">
        <f t="shared" si="16"/>
        <v>52.74</v>
      </c>
      <c r="BB93" s="35">
        <f t="shared" si="17"/>
        <v>52.74</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3142</v>
      </c>
      <c r="D94" s="2217" t="s">
        <v>3185</v>
      </c>
      <c r="E94" s="35">
        <f t="shared" si="7"/>
        <v>138.16</v>
      </c>
      <c r="F94" s="36"/>
      <c r="G94" s="37">
        <f t="shared" si="8"/>
        <v>72.180000000000007</v>
      </c>
      <c r="H94" s="38">
        <f t="shared" si="9"/>
        <v>72.180000000000007</v>
      </c>
      <c r="I94" s="39">
        <v>72.180000000000007</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t="str">
        <f t="shared" si="13"/>
        <v>614</v>
      </c>
      <c r="AY94" s="42">
        <f t="shared" si="14"/>
        <v>138.16</v>
      </c>
      <c r="AZ94" s="35">
        <f t="shared" si="15"/>
        <v>72.180000000000007</v>
      </c>
      <c r="BA94" s="35">
        <f t="shared" si="16"/>
        <v>72.180000000000007</v>
      </c>
      <c r="BB94" s="35">
        <f t="shared" si="17"/>
        <v>72.180000000000007</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3143</v>
      </c>
      <c r="D95" s="2217" t="s">
        <v>3185</v>
      </c>
      <c r="E95" s="35">
        <f t="shared" si="7"/>
        <v>131.37</v>
      </c>
      <c r="F95" s="36"/>
      <c r="G95" s="37">
        <f t="shared" si="8"/>
        <v>68.63</v>
      </c>
      <c r="H95" s="38">
        <f t="shared" si="9"/>
        <v>68.63</v>
      </c>
      <c r="I95" s="39">
        <v>68.63</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t="str">
        <f t="shared" si="13"/>
        <v>701</v>
      </c>
      <c r="AY95" s="42">
        <f t="shared" si="14"/>
        <v>131.37</v>
      </c>
      <c r="AZ95" s="35">
        <f t="shared" si="15"/>
        <v>68.63</v>
      </c>
      <c r="BA95" s="35">
        <f t="shared" si="16"/>
        <v>68.63</v>
      </c>
      <c r="BB95" s="35">
        <f t="shared" si="17"/>
        <v>68.63</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3144</v>
      </c>
      <c r="D96" s="2217" t="s">
        <v>3185</v>
      </c>
      <c r="E96" s="35">
        <f t="shared" si="7"/>
        <v>101.51</v>
      </c>
      <c r="F96" s="36"/>
      <c r="G96" s="37">
        <f t="shared" si="8"/>
        <v>53.03</v>
      </c>
      <c r="H96" s="38">
        <f t="shared" si="9"/>
        <v>53.03</v>
      </c>
      <c r="I96" s="39">
        <v>53.03</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t="str">
        <f t="shared" si="13"/>
        <v>702</v>
      </c>
      <c r="AY96" s="42">
        <f t="shared" si="14"/>
        <v>101.51</v>
      </c>
      <c r="AZ96" s="35">
        <f t="shared" si="15"/>
        <v>53.03</v>
      </c>
      <c r="BA96" s="35">
        <f t="shared" si="16"/>
        <v>53.03</v>
      </c>
      <c r="BB96" s="35">
        <f t="shared" si="17"/>
        <v>53.03</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3145</v>
      </c>
      <c r="D97" s="2217" t="s">
        <v>3185</v>
      </c>
      <c r="E97" s="35">
        <f t="shared" si="7"/>
        <v>101.28</v>
      </c>
      <c r="F97" s="36"/>
      <c r="G97" s="37">
        <f t="shared" si="8"/>
        <v>52.91</v>
      </c>
      <c r="H97" s="38">
        <f t="shared" si="9"/>
        <v>52.91</v>
      </c>
      <c r="I97" s="39">
        <v>52.91</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t="str">
        <f t="shared" si="13"/>
        <v>703</v>
      </c>
      <c r="AY97" s="42">
        <f t="shared" si="14"/>
        <v>101.28</v>
      </c>
      <c r="AZ97" s="35">
        <f t="shared" si="15"/>
        <v>52.91</v>
      </c>
      <c r="BA97" s="35">
        <f t="shared" si="16"/>
        <v>52.91</v>
      </c>
      <c r="BB97" s="35">
        <f t="shared" si="17"/>
        <v>52.91</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3146</v>
      </c>
      <c r="D98" s="2217" t="s">
        <v>3185</v>
      </c>
      <c r="E98" s="35">
        <f t="shared" si="7"/>
        <v>101.99</v>
      </c>
      <c r="F98" s="36"/>
      <c r="G98" s="37">
        <f t="shared" si="8"/>
        <v>53.28</v>
      </c>
      <c r="H98" s="38">
        <f t="shared" si="9"/>
        <v>53.28</v>
      </c>
      <c r="I98" s="39">
        <v>53.28</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t="str">
        <f t="shared" si="13"/>
        <v>704</v>
      </c>
      <c r="AY98" s="42">
        <f t="shared" si="14"/>
        <v>101.99</v>
      </c>
      <c r="AZ98" s="35">
        <f t="shared" si="15"/>
        <v>53.28</v>
      </c>
      <c r="BA98" s="35">
        <f t="shared" si="16"/>
        <v>53.28</v>
      </c>
      <c r="BB98" s="35">
        <f t="shared" si="17"/>
        <v>53.28</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3147</v>
      </c>
      <c r="D99" s="2217" t="s">
        <v>3185</v>
      </c>
      <c r="E99" s="35">
        <f t="shared" si="7"/>
        <v>126.12</v>
      </c>
      <c r="F99" s="36"/>
      <c r="G99" s="37">
        <f t="shared" si="8"/>
        <v>65.89</v>
      </c>
      <c r="H99" s="38">
        <f t="shared" si="9"/>
        <v>65.89</v>
      </c>
      <c r="I99" s="39">
        <v>65.89</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t="str">
        <f t="shared" si="13"/>
        <v>705</v>
      </c>
      <c r="AY99" s="42">
        <f t="shared" si="14"/>
        <v>126.12</v>
      </c>
      <c r="AZ99" s="35">
        <f t="shared" si="15"/>
        <v>65.89</v>
      </c>
      <c r="BA99" s="35">
        <f t="shared" si="16"/>
        <v>65.89</v>
      </c>
      <c r="BB99" s="35">
        <f t="shared" si="17"/>
        <v>65.89</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t="s">
        <v>3148</v>
      </c>
      <c r="D100" s="2217" t="s">
        <v>3185</v>
      </c>
      <c r="E100" s="35">
        <f t="shared" si="7"/>
        <v>99.73</v>
      </c>
      <c r="F100" s="36"/>
      <c r="G100" s="37">
        <f t="shared" si="8"/>
        <v>52.1</v>
      </c>
      <c r="H100" s="38">
        <f t="shared" si="9"/>
        <v>52.1</v>
      </c>
      <c r="I100" s="39">
        <v>52.1</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t="str">
        <f t="shared" si="13"/>
        <v>706</v>
      </c>
      <c r="AY100" s="42">
        <f t="shared" si="14"/>
        <v>99.73</v>
      </c>
      <c r="AZ100" s="35">
        <f t="shared" si="15"/>
        <v>52.1</v>
      </c>
      <c r="BA100" s="35">
        <f t="shared" si="16"/>
        <v>52.1</v>
      </c>
      <c r="BB100" s="35">
        <f t="shared" si="17"/>
        <v>52.1</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t="s">
        <v>3149</v>
      </c>
      <c r="D101" s="2217" t="s">
        <v>3185</v>
      </c>
      <c r="E101" s="35">
        <f t="shared" si="7"/>
        <v>158.57</v>
      </c>
      <c r="F101" s="36"/>
      <c r="G101" s="37">
        <f t="shared" si="8"/>
        <v>82.84</v>
      </c>
      <c r="H101" s="38">
        <f t="shared" si="9"/>
        <v>82.84</v>
      </c>
      <c r="I101" s="39">
        <v>82.84</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t="str">
        <f t="shared" si="13"/>
        <v>707</v>
      </c>
      <c r="AY101" s="42">
        <f t="shared" si="14"/>
        <v>158.57</v>
      </c>
      <c r="AZ101" s="35">
        <f t="shared" si="15"/>
        <v>82.84</v>
      </c>
      <c r="BA101" s="35">
        <f t="shared" si="16"/>
        <v>82.84</v>
      </c>
      <c r="BB101" s="35">
        <f t="shared" si="17"/>
        <v>82.84</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t="s">
        <v>3150</v>
      </c>
      <c r="D102" s="2217" t="s">
        <v>3185</v>
      </c>
      <c r="E102" s="35">
        <f t="shared" si="7"/>
        <v>158.57</v>
      </c>
      <c r="F102" s="36"/>
      <c r="G102" s="37">
        <f t="shared" si="8"/>
        <v>82.84</v>
      </c>
      <c r="H102" s="38">
        <f t="shared" si="9"/>
        <v>82.84</v>
      </c>
      <c r="I102" s="39">
        <v>82.84</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t="str">
        <f t="shared" si="13"/>
        <v>708</v>
      </c>
      <c r="AY102" s="42">
        <f t="shared" si="14"/>
        <v>158.57</v>
      </c>
      <c r="AZ102" s="35">
        <f t="shared" si="15"/>
        <v>82.84</v>
      </c>
      <c r="BA102" s="35">
        <f t="shared" si="16"/>
        <v>82.84</v>
      </c>
      <c r="BB102" s="35">
        <f t="shared" si="17"/>
        <v>82.84</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t="s">
        <v>3151</v>
      </c>
      <c r="D103" s="2217" t="s">
        <v>3185</v>
      </c>
      <c r="E103" s="35">
        <f t="shared" si="7"/>
        <v>99.73</v>
      </c>
      <c r="F103" s="36"/>
      <c r="G103" s="37">
        <f t="shared" si="8"/>
        <v>52.1</v>
      </c>
      <c r="H103" s="38">
        <f t="shared" si="9"/>
        <v>52.1</v>
      </c>
      <c r="I103" s="39">
        <v>52.1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t="str">
        <f t="shared" si="13"/>
        <v>709</v>
      </c>
      <c r="AY103" s="42">
        <f t="shared" si="14"/>
        <v>99.73</v>
      </c>
      <c r="AZ103" s="35">
        <f t="shared" si="15"/>
        <v>52.1</v>
      </c>
      <c r="BA103" s="35">
        <f t="shared" si="16"/>
        <v>52.1</v>
      </c>
      <c r="BB103" s="35">
        <f t="shared" si="17"/>
        <v>52.1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t="s">
        <v>3152</v>
      </c>
      <c r="D104" s="2217" t="s">
        <v>3185</v>
      </c>
      <c r="E104" s="35">
        <f t="shared" si="7"/>
        <v>126.12</v>
      </c>
      <c r="F104" s="36"/>
      <c r="G104" s="37">
        <f t="shared" si="8"/>
        <v>65.89</v>
      </c>
      <c r="H104" s="38">
        <f t="shared" si="9"/>
        <v>65.89</v>
      </c>
      <c r="I104" s="39">
        <v>65.89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t="str">
        <f t="shared" si="13"/>
        <v>710</v>
      </c>
      <c r="AY104" s="42">
        <f t="shared" si="14"/>
        <v>126.12</v>
      </c>
      <c r="AZ104" s="35">
        <f t="shared" si="15"/>
        <v>65.89</v>
      </c>
      <c r="BA104" s="35">
        <f t="shared" si="16"/>
        <v>65.89</v>
      </c>
      <c r="BB104" s="35">
        <f t="shared" si="17"/>
        <v>65.89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t="s">
        <v>3153</v>
      </c>
      <c r="D105" s="2217" t="s">
        <v>3185</v>
      </c>
      <c r="E105" s="35">
        <f t="shared" si="7"/>
        <v>101.99</v>
      </c>
      <c r="F105" s="36"/>
      <c r="G105" s="37">
        <f t="shared" si="8"/>
        <v>53.28</v>
      </c>
      <c r="H105" s="38">
        <f t="shared" si="9"/>
        <v>53.28</v>
      </c>
      <c r="I105" s="39">
        <v>53.28</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t="str">
        <f t="shared" si="13"/>
        <v>711</v>
      </c>
      <c r="AY105" s="42">
        <f t="shared" si="14"/>
        <v>101.99</v>
      </c>
      <c r="AZ105" s="35">
        <f t="shared" si="15"/>
        <v>53.28</v>
      </c>
      <c r="BA105" s="35">
        <f t="shared" si="16"/>
        <v>53.28</v>
      </c>
      <c r="BB105" s="35">
        <f t="shared" si="17"/>
        <v>53.28</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t="s">
        <v>3154</v>
      </c>
      <c r="D106" s="2217" t="s">
        <v>3186</v>
      </c>
      <c r="E106" s="35">
        <f t="shared" si="7"/>
        <v>101.28</v>
      </c>
      <c r="F106" s="36"/>
      <c r="G106" s="37">
        <f t="shared" si="8"/>
        <v>52.91</v>
      </c>
      <c r="H106" s="38">
        <f t="shared" si="9"/>
        <v>52.91</v>
      </c>
      <c r="I106" s="39">
        <v>52.91</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t="str">
        <f t="shared" si="13"/>
        <v>712</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t="s">
        <v>3155</v>
      </c>
      <c r="D107" s="2217" t="s">
        <v>3186</v>
      </c>
      <c r="E107" s="35">
        <f t="shared" si="7"/>
        <v>101.51</v>
      </c>
      <c r="F107" s="36"/>
      <c r="G107" s="37">
        <f t="shared" si="8"/>
        <v>53.03</v>
      </c>
      <c r="H107" s="38">
        <f t="shared" si="9"/>
        <v>53.03</v>
      </c>
      <c r="I107" s="39">
        <v>53.03</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t="str">
        <f t="shared" si="13"/>
        <v>713</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t="s">
        <v>3156</v>
      </c>
      <c r="D108" s="2217" t="s">
        <v>3185</v>
      </c>
      <c r="E108" s="35">
        <f t="shared" si="7"/>
        <v>138.91</v>
      </c>
      <c r="F108" s="36"/>
      <c r="G108" s="37">
        <f t="shared" si="8"/>
        <v>72.569999999999993</v>
      </c>
      <c r="H108" s="38">
        <f t="shared" si="9"/>
        <v>72.569999999999993</v>
      </c>
      <c r="I108" s="39">
        <v>72.569999999999993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t="str">
        <f t="shared" si="13"/>
        <v>714</v>
      </c>
      <c r="AY108" s="42">
        <f t="shared" si="14"/>
        <v>138.91</v>
      </c>
      <c r="AZ108" s="35">
        <f t="shared" si="15"/>
        <v>72.569999999999993</v>
      </c>
      <c r="BA108" s="35">
        <f t="shared" si="16"/>
        <v>72.569999999999993</v>
      </c>
      <c r="BB108" s="35">
        <f t="shared" si="17"/>
        <v>72.569999999999993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t="s">
        <v>3157</v>
      </c>
      <c r="D109" s="2217" t="s">
        <v>3185</v>
      </c>
      <c r="E109" s="35">
        <f t="shared" si="7"/>
        <v>132.06</v>
      </c>
      <c r="F109" s="36"/>
      <c r="G109" s="37">
        <f t="shared" si="8"/>
        <v>68.989999999999995</v>
      </c>
      <c r="H109" s="38">
        <f t="shared" si="9"/>
        <v>68.989999999999995</v>
      </c>
      <c r="I109" s="39">
        <v>68.989999999999995</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t="str">
        <f t="shared" si="13"/>
        <v>801</v>
      </c>
      <c r="AY109" s="42">
        <f t="shared" si="14"/>
        <v>132.06</v>
      </c>
      <c r="AZ109" s="35">
        <f t="shared" si="15"/>
        <v>68.989999999999995</v>
      </c>
      <c r="BA109" s="35">
        <f t="shared" si="16"/>
        <v>68.989999999999995</v>
      </c>
      <c r="BB109" s="35">
        <f t="shared" si="17"/>
        <v>68.989999999999995</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t="s">
        <v>3158</v>
      </c>
      <c r="D110" s="2217" t="s">
        <v>3185</v>
      </c>
      <c r="E110" s="35">
        <f t="shared" si="7"/>
        <v>102.03</v>
      </c>
      <c r="F110" s="44"/>
      <c r="G110" s="37">
        <f t="shared" ref="G110:G141" si="36">H110+AC110+AT110</f>
        <v>53.3</v>
      </c>
      <c r="H110" s="38">
        <f t="shared" ref="H110:H141" si="37">SUMIF(I$12:AB$12,"总值",I110:AB110)</f>
        <v>53.3</v>
      </c>
      <c r="I110" s="10">
        <v>53.3</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t="str">
        <f t="shared" si="13"/>
        <v>802</v>
      </c>
      <c r="AY110" s="42">
        <f t="shared" ref="AY110:AY141" si="39">ROUND($AY$6*AZ110/$AZ$5,2)</f>
        <v>102.03</v>
      </c>
      <c r="AZ110" s="35">
        <f t="shared" ref="AZ110:AZ141" si="40">BA110+BL110</f>
        <v>53.3</v>
      </c>
      <c r="BA110" s="35">
        <f t="shared" ref="BA110:BA141" si="41">SUM(BB110:BK110)</f>
        <v>53.3</v>
      </c>
      <c r="BB110" s="35">
        <f t="shared" ref="BB110:BB141" si="42">IF($D110="是",I110-J110,0)</f>
        <v>53.3</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t="s">
        <v>3159</v>
      </c>
      <c r="D111" s="2217" t="s">
        <v>3185</v>
      </c>
      <c r="E111" s="35">
        <f t="shared" si="7"/>
        <v>101.8</v>
      </c>
      <c r="F111" s="44"/>
      <c r="G111" s="37">
        <f t="shared" si="36"/>
        <v>53.18</v>
      </c>
      <c r="H111" s="38">
        <f t="shared" si="37"/>
        <v>53.18</v>
      </c>
      <c r="I111" s="39">
        <v>53.18</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t="str">
        <f t="shared" si="13"/>
        <v>803</v>
      </c>
      <c r="AY111" s="42">
        <f t="shared" si="39"/>
        <v>101.8</v>
      </c>
      <c r="AZ111" s="35">
        <f t="shared" si="40"/>
        <v>53.18</v>
      </c>
      <c r="BA111" s="35">
        <f t="shared" si="41"/>
        <v>53.18</v>
      </c>
      <c r="BB111" s="35">
        <f t="shared" si="42"/>
        <v>53.18</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t="s">
        <v>3160</v>
      </c>
      <c r="D112" s="2217" t="s">
        <v>3185</v>
      </c>
      <c r="E112" s="35">
        <f t="shared" si="7"/>
        <v>102.5</v>
      </c>
      <c r="F112" s="44"/>
      <c r="G112" s="37">
        <f t="shared" si="36"/>
        <v>53.55</v>
      </c>
      <c r="H112" s="38">
        <f t="shared" si="37"/>
        <v>53.55</v>
      </c>
      <c r="I112" s="39">
        <v>53.55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t="str">
        <f t="shared" si="13"/>
        <v>804</v>
      </c>
      <c r="AY112" s="42">
        <f t="shared" si="39"/>
        <v>102.5</v>
      </c>
      <c r="AZ112" s="35">
        <f t="shared" si="40"/>
        <v>53.55</v>
      </c>
      <c r="BA112" s="35">
        <f t="shared" si="41"/>
        <v>53.55</v>
      </c>
      <c r="BB112" s="35">
        <f t="shared" si="42"/>
        <v>53.55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t="s">
        <v>3161</v>
      </c>
      <c r="D113" s="2217" t="s">
        <v>3185</v>
      </c>
      <c r="E113" s="35">
        <f t="shared" ref="E113:E144" si="61">IF($C$3="是",ROUND($A$3*G113/$B$3,2),ROUND($A$3*(G113-AT113)/$B$3,2))</f>
        <v>126.78</v>
      </c>
      <c r="F113" s="36"/>
      <c r="G113" s="37">
        <f t="shared" si="36"/>
        <v>66.23</v>
      </c>
      <c r="H113" s="38">
        <f t="shared" si="37"/>
        <v>66.23</v>
      </c>
      <c r="I113" s="39">
        <v>66.23</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t="str">
        <f t="shared" ref="AX113:AX144" si="64">C113</f>
        <v>805</v>
      </c>
      <c r="AY113" s="42">
        <f t="shared" si="39"/>
        <v>126.78</v>
      </c>
      <c r="AZ113" s="35">
        <f t="shared" si="40"/>
        <v>66.23</v>
      </c>
      <c r="BA113" s="35">
        <f t="shared" si="41"/>
        <v>66.23</v>
      </c>
      <c r="BB113" s="35">
        <f t="shared" si="42"/>
        <v>66.23</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t="s">
        <v>3162</v>
      </c>
      <c r="D114" s="2217" t="s">
        <v>3185</v>
      </c>
      <c r="E114" s="35">
        <f t="shared" si="61"/>
        <v>86.1</v>
      </c>
      <c r="F114" s="36"/>
      <c r="G114" s="37">
        <f t="shared" si="36"/>
        <v>44.98</v>
      </c>
      <c r="H114" s="38">
        <f t="shared" si="37"/>
        <v>44.98</v>
      </c>
      <c r="I114" s="39">
        <v>44.98</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t="str">
        <f t="shared" si="64"/>
        <v>806</v>
      </c>
      <c r="AY114" s="42">
        <f t="shared" si="39"/>
        <v>86.1</v>
      </c>
      <c r="AZ114" s="35">
        <f t="shared" si="40"/>
        <v>44.98</v>
      </c>
      <c r="BA114" s="35">
        <f t="shared" si="41"/>
        <v>44.98</v>
      </c>
      <c r="BB114" s="35">
        <f t="shared" si="42"/>
        <v>44.98</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t="s">
        <v>3163</v>
      </c>
      <c r="D115" s="2217" t="s">
        <v>3185</v>
      </c>
      <c r="E115" s="35">
        <f t="shared" si="61"/>
        <v>111.39</v>
      </c>
      <c r="F115" s="36"/>
      <c r="G115" s="37">
        <f t="shared" si="36"/>
        <v>58.19</v>
      </c>
      <c r="H115" s="38">
        <f t="shared" si="37"/>
        <v>58.19</v>
      </c>
      <c r="I115" s="39">
        <v>58.19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t="str">
        <f t="shared" si="64"/>
        <v>807</v>
      </c>
      <c r="AY115" s="42">
        <f t="shared" si="39"/>
        <v>111.39</v>
      </c>
      <c r="AZ115" s="35">
        <f t="shared" si="40"/>
        <v>58.19</v>
      </c>
      <c r="BA115" s="35">
        <f t="shared" si="41"/>
        <v>58.19</v>
      </c>
      <c r="BB115" s="35">
        <f t="shared" si="42"/>
        <v>58.19</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t="s">
        <v>3164</v>
      </c>
      <c r="D116" s="2217" t="s">
        <v>3185</v>
      </c>
      <c r="E116" s="35">
        <f t="shared" si="61"/>
        <v>111.39</v>
      </c>
      <c r="F116" s="36"/>
      <c r="G116" s="37">
        <f t="shared" si="36"/>
        <v>58.19</v>
      </c>
      <c r="H116" s="38">
        <f t="shared" si="37"/>
        <v>58.19</v>
      </c>
      <c r="I116" s="39">
        <v>58.19</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t="str">
        <f t="shared" si="64"/>
        <v>808</v>
      </c>
      <c r="AY116" s="42">
        <f t="shared" si="39"/>
        <v>111.39</v>
      </c>
      <c r="AZ116" s="35">
        <f t="shared" si="40"/>
        <v>58.19</v>
      </c>
      <c r="BA116" s="35">
        <f t="shared" si="41"/>
        <v>58.19</v>
      </c>
      <c r="BB116" s="35">
        <f t="shared" si="42"/>
        <v>58.19</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t="s">
        <v>3165</v>
      </c>
      <c r="D117" s="2217" t="s">
        <v>3185</v>
      </c>
      <c r="E117" s="35">
        <f t="shared" si="61"/>
        <v>86.1</v>
      </c>
      <c r="F117" s="36"/>
      <c r="G117" s="37">
        <f t="shared" si="36"/>
        <v>44.98</v>
      </c>
      <c r="H117" s="38">
        <f t="shared" si="37"/>
        <v>44.98</v>
      </c>
      <c r="I117" s="39">
        <v>44.98</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t="str">
        <f t="shared" si="64"/>
        <v>809</v>
      </c>
      <c r="AY117" s="42">
        <f t="shared" si="39"/>
        <v>86.1</v>
      </c>
      <c r="AZ117" s="35">
        <f t="shared" si="40"/>
        <v>44.98</v>
      </c>
      <c r="BA117" s="35">
        <f t="shared" si="41"/>
        <v>44.98</v>
      </c>
      <c r="BB117" s="35">
        <f t="shared" si="42"/>
        <v>44.98</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t="s">
        <v>3166</v>
      </c>
      <c r="D118" s="2217" t="s">
        <v>3185</v>
      </c>
      <c r="E118" s="35">
        <f t="shared" si="61"/>
        <v>126.78</v>
      </c>
      <c r="F118" s="36"/>
      <c r="G118" s="37">
        <f t="shared" si="36"/>
        <v>66.23</v>
      </c>
      <c r="H118" s="38">
        <f t="shared" si="37"/>
        <v>66.23</v>
      </c>
      <c r="I118" s="39">
        <v>66.23</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t="str">
        <f t="shared" si="64"/>
        <v>810</v>
      </c>
      <c r="AY118" s="42">
        <f t="shared" si="39"/>
        <v>126.78</v>
      </c>
      <c r="AZ118" s="35">
        <f t="shared" si="40"/>
        <v>66.23</v>
      </c>
      <c r="BA118" s="35">
        <f t="shared" si="41"/>
        <v>66.23</v>
      </c>
      <c r="BB118" s="35">
        <f t="shared" si="42"/>
        <v>66.23</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t="s">
        <v>3167</v>
      </c>
      <c r="D119" s="2217" t="s">
        <v>3185</v>
      </c>
      <c r="E119" s="35">
        <f t="shared" si="61"/>
        <v>102.5</v>
      </c>
      <c r="F119" s="36"/>
      <c r="G119" s="37">
        <f t="shared" si="36"/>
        <v>53.55</v>
      </c>
      <c r="H119" s="38">
        <f t="shared" si="37"/>
        <v>53.55</v>
      </c>
      <c r="I119" s="39">
        <v>53.55</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t="str">
        <f t="shared" si="64"/>
        <v>811</v>
      </c>
      <c r="AY119" s="42">
        <f t="shared" si="39"/>
        <v>102.5</v>
      </c>
      <c r="AZ119" s="35">
        <f t="shared" si="40"/>
        <v>53.55</v>
      </c>
      <c r="BA119" s="35">
        <f t="shared" si="41"/>
        <v>53.55</v>
      </c>
      <c r="BB119" s="35">
        <f t="shared" si="42"/>
        <v>53.55</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t="s">
        <v>3168</v>
      </c>
      <c r="D120" s="2217" t="s">
        <v>3185</v>
      </c>
      <c r="E120" s="35">
        <f t="shared" si="61"/>
        <v>101.8</v>
      </c>
      <c r="F120" s="36"/>
      <c r="G120" s="37">
        <f t="shared" si="36"/>
        <v>53.18</v>
      </c>
      <c r="H120" s="38">
        <f t="shared" si="37"/>
        <v>53.18</v>
      </c>
      <c r="I120" s="39">
        <v>53.18</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t="str">
        <f t="shared" si="64"/>
        <v>812</v>
      </c>
      <c r="AY120" s="42">
        <f t="shared" si="39"/>
        <v>101.8</v>
      </c>
      <c r="AZ120" s="35">
        <f t="shared" si="40"/>
        <v>53.18</v>
      </c>
      <c r="BA120" s="35">
        <f t="shared" si="41"/>
        <v>53.18</v>
      </c>
      <c r="BB120" s="35">
        <f t="shared" si="42"/>
        <v>53.18</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t="s">
        <v>3169</v>
      </c>
      <c r="D121" s="2217" t="s">
        <v>3185</v>
      </c>
      <c r="E121" s="35">
        <f t="shared" si="61"/>
        <v>102.03</v>
      </c>
      <c r="F121" s="36"/>
      <c r="G121" s="37">
        <f t="shared" si="36"/>
        <v>53.3</v>
      </c>
      <c r="H121" s="38">
        <f t="shared" si="37"/>
        <v>53.3</v>
      </c>
      <c r="I121" s="39">
        <v>53.3</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t="str">
        <f t="shared" si="64"/>
        <v>813</v>
      </c>
      <c r="AY121" s="42">
        <f t="shared" si="39"/>
        <v>102.03</v>
      </c>
      <c r="AZ121" s="35">
        <f t="shared" si="40"/>
        <v>53.3</v>
      </c>
      <c r="BA121" s="35">
        <f t="shared" si="41"/>
        <v>53.3</v>
      </c>
      <c r="BB121" s="35">
        <f t="shared" si="42"/>
        <v>53.3</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t="s">
        <v>3170</v>
      </c>
      <c r="D122" s="2217" t="s">
        <v>3185</v>
      </c>
      <c r="E122" s="35">
        <f t="shared" si="61"/>
        <v>139.62</v>
      </c>
      <c r="F122" s="36"/>
      <c r="G122" s="37">
        <f t="shared" si="36"/>
        <v>72.94</v>
      </c>
      <c r="H122" s="38">
        <f t="shared" si="37"/>
        <v>72.94</v>
      </c>
      <c r="I122" s="39">
        <v>72.94</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t="str">
        <f t="shared" si="64"/>
        <v>814</v>
      </c>
      <c r="AY122" s="42">
        <f t="shared" si="39"/>
        <v>139.62</v>
      </c>
      <c r="AZ122" s="35">
        <f t="shared" si="40"/>
        <v>72.94</v>
      </c>
      <c r="BA122" s="35">
        <f t="shared" si="41"/>
        <v>72.94</v>
      </c>
      <c r="BB122" s="35">
        <f t="shared" si="42"/>
        <v>72.94</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t="s">
        <v>3171</v>
      </c>
      <c r="D123" s="2217" t="s">
        <v>3185</v>
      </c>
      <c r="E123" s="35">
        <f t="shared" si="61"/>
        <v>134.34</v>
      </c>
      <c r="F123" s="36"/>
      <c r="G123" s="37">
        <f t="shared" si="36"/>
        <v>70.180000000000007</v>
      </c>
      <c r="H123" s="38">
        <f t="shared" si="37"/>
        <v>70.180000000000007</v>
      </c>
      <c r="I123" s="39">
        <v>70.180000000000007</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t="str">
        <f t="shared" si="64"/>
        <v>901</v>
      </c>
      <c r="AY123" s="42">
        <f t="shared" si="39"/>
        <v>134.34</v>
      </c>
      <c r="AZ123" s="35">
        <f t="shared" si="40"/>
        <v>70.180000000000007</v>
      </c>
      <c r="BA123" s="35">
        <f t="shared" si="41"/>
        <v>70.180000000000007</v>
      </c>
      <c r="BB123" s="35">
        <f t="shared" si="42"/>
        <v>70.180000000000007</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t="s">
        <v>3172</v>
      </c>
      <c r="D124" s="2217" t="s">
        <v>3185</v>
      </c>
      <c r="E124" s="35">
        <f t="shared" si="61"/>
        <v>103.79</v>
      </c>
      <c r="F124" s="36"/>
      <c r="G124" s="37">
        <f t="shared" si="36"/>
        <v>54.22</v>
      </c>
      <c r="H124" s="38">
        <f t="shared" si="37"/>
        <v>54.22</v>
      </c>
      <c r="I124" s="39">
        <v>54.22</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t="str">
        <f t="shared" si="64"/>
        <v>902</v>
      </c>
      <c r="AY124" s="42">
        <f t="shared" si="39"/>
        <v>103.79</v>
      </c>
      <c r="AZ124" s="35">
        <f t="shared" si="40"/>
        <v>54.22</v>
      </c>
      <c r="BA124" s="35">
        <f t="shared" si="41"/>
        <v>54.22</v>
      </c>
      <c r="BB124" s="35">
        <f t="shared" si="42"/>
        <v>54.22</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t="s">
        <v>3173</v>
      </c>
      <c r="D125" s="2217" t="s">
        <v>3185</v>
      </c>
      <c r="E125" s="35">
        <f t="shared" si="61"/>
        <v>103.56</v>
      </c>
      <c r="F125" s="36"/>
      <c r="G125" s="37">
        <f t="shared" si="36"/>
        <v>54.1</v>
      </c>
      <c r="H125" s="38">
        <f t="shared" si="37"/>
        <v>54.1</v>
      </c>
      <c r="I125" s="39">
        <v>54.1</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t="str">
        <f t="shared" si="64"/>
        <v>903</v>
      </c>
      <c r="AY125" s="42">
        <f t="shared" si="39"/>
        <v>103.56</v>
      </c>
      <c r="AZ125" s="35">
        <f t="shared" si="40"/>
        <v>54.1</v>
      </c>
      <c r="BA125" s="35">
        <f t="shared" si="41"/>
        <v>54.1</v>
      </c>
      <c r="BB125" s="35">
        <f t="shared" si="42"/>
        <v>54.1</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t="s">
        <v>3174</v>
      </c>
      <c r="D126" s="2217" t="s">
        <v>3185</v>
      </c>
      <c r="E126" s="35">
        <f t="shared" si="61"/>
        <v>104.53</v>
      </c>
      <c r="F126" s="36"/>
      <c r="G126" s="37">
        <f t="shared" si="36"/>
        <v>54.61</v>
      </c>
      <c r="H126" s="38">
        <f t="shared" si="37"/>
        <v>54.61</v>
      </c>
      <c r="I126" s="39">
        <v>54.61</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t="str">
        <f t="shared" si="64"/>
        <v>904</v>
      </c>
      <c r="AY126" s="42">
        <f t="shared" si="39"/>
        <v>104.53</v>
      </c>
      <c r="AZ126" s="35">
        <f t="shared" si="40"/>
        <v>54.61</v>
      </c>
      <c r="BA126" s="35">
        <f t="shared" si="41"/>
        <v>54.61</v>
      </c>
      <c r="BB126" s="35">
        <f t="shared" si="42"/>
        <v>54.61</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t="s">
        <v>3175</v>
      </c>
      <c r="D127" s="2217" t="s">
        <v>3185</v>
      </c>
      <c r="E127" s="35">
        <f t="shared" si="61"/>
        <v>118.03</v>
      </c>
      <c r="F127" s="36"/>
      <c r="G127" s="37">
        <f t="shared" si="36"/>
        <v>61.66</v>
      </c>
      <c r="H127" s="38">
        <f t="shared" si="37"/>
        <v>61.66</v>
      </c>
      <c r="I127" s="39">
        <v>61.66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t="str">
        <f t="shared" si="64"/>
        <v>905</v>
      </c>
      <c r="AY127" s="42">
        <f t="shared" si="39"/>
        <v>118.03</v>
      </c>
      <c r="AZ127" s="35">
        <f t="shared" si="40"/>
        <v>61.66</v>
      </c>
      <c r="BA127" s="35">
        <f t="shared" si="41"/>
        <v>61.66</v>
      </c>
      <c r="BB127" s="35">
        <f t="shared" si="42"/>
        <v>61.66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t="s">
        <v>3176</v>
      </c>
      <c r="D128" s="2217" t="s">
        <v>3186</v>
      </c>
      <c r="E128" s="35">
        <f t="shared" si="61"/>
        <v>60.03</v>
      </c>
      <c r="F128" s="36"/>
      <c r="G128" s="37">
        <f t="shared" si="36"/>
        <v>31.36</v>
      </c>
      <c r="H128" s="38">
        <f t="shared" si="37"/>
        <v>31.36</v>
      </c>
      <c r="I128" s="39">
        <v>31.36</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t="str">
        <f t="shared" si="64"/>
        <v>906</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t="s">
        <v>3177</v>
      </c>
      <c r="D129" s="2217" t="s">
        <v>3185</v>
      </c>
      <c r="E129" s="35">
        <f t="shared" si="61"/>
        <v>107.37</v>
      </c>
      <c r="F129" s="36"/>
      <c r="G129" s="37">
        <f t="shared" si="36"/>
        <v>56.09</v>
      </c>
      <c r="H129" s="38">
        <f t="shared" si="37"/>
        <v>56.09</v>
      </c>
      <c r="I129" s="39">
        <v>56.09</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t="str">
        <f t="shared" si="64"/>
        <v>907</v>
      </c>
      <c r="AY129" s="42">
        <f t="shared" si="39"/>
        <v>107.37</v>
      </c>
      <c r="AZ129" s="35">
        <f t="shared" si="40"/>
        <v>56.09</v>
      </c>
      <c r="BA129" s="35">
        <f t="shared" si="41"/>
        <v>56.09</v>
      </c>
      <c r="BB129" s="35">
        <f t="shared" si="42"/>
        <v>56.09</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t="s">
        <v>3178</v>
      </c>
      <c r="D130" s="2217" t="s">
        <v>3186</v>
      </c>
      <c r="E130" s="35">
        <f t="shared" si="61"/>
        <v>72.47</v>
      </c>
      <c r="F130" s="36"/>
      <c r="G130" s="37">
        <f t="shared" si="36"/>
        <v>37.86</v>
      </c>
      <c r="H130" s="38">
        <f t="shared" si="37"/>
        <v>37.86</v>
      </c>
      <c r="I130" s="39">
        <v>37.86</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t="str">
        <f t="shared" si="64"/>
        <v>908</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t="s">
        <v>3179</v>
      </c>
      <c r="D131" s="2217" t="s">
        <v>3185</v>
      </c>
      <c r="E131" s="35">
        <f t="shared" si="61"/>
        <v>118.03</v>
      </c>
      <c r="F131" s="36"/>
      <c r="G131" s="37">
        <f t="shared" si="36"/>
        <v>61.66</v>
      </c>
      <c r="H131" s="38">
        <f t="shared" si="37"/>
        <v>61.66</v>
      </c>
      <c r="I131" s="39">
        <v>61.66</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t="str">
        <f t="shared" si="64"/>
        <v>909</v>
      </c>
      <c r="AY131" s="42">
        <f t="shared" si="39"/>
        <v>118.03</v>
      </c>
      <c r="AZ131" s="35">
        <f t="shared" si="40"/>
        <v>61.66</v>
      </c>
      <c r="BA131" s="35">
        <f t="shared" si="41"/>
        <v>61.66</v>
      </c>
      <c r="BB131" s="35">
        <f t="shared" si="42"/>
        <v>61.66</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t="s">
        <v>3180</v>
      </c>
      <c r="D132" s="2217" t="s">
        <v>3185</v>
      </c>
      <c r="E132" s="35">
        <f t="shared" si="61"/>
        <v>104.53</v>
      </c>
      <c r="F132" s="36"/>
      <c r="G132" s="37">
        <f t="shared" si="36"/>
        <v>54.61</v>
      </c>
      <c r="H132" s="38">
        <f t="shared" si="37"/>
        <v>54.61</v>
      </c>
      <c r="I132" s="39">
        <v>54.61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t="str">
        <f t="shared" si="64"/>
        <v>910</v>
      </c>
      <c r="AY132" s="42">
        <f t="shared" si="39"/>
        <v>104.53</v>
      </c>
      <c r="AZ132" s="35">
        <f t="shared" si="40"/>
        <v>54.61</v>
      </c>
      <c r="BA132" s="35">
        <f t="shared" si="41"/>
        <v>54.61</v>
      </c>
      <c r="BB132" s="35">
        <f t="shared" si="42"/>
        <v>54.61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t="s">
        <v>3181</v>
      </c>
      <c r="D133" s="2217" t="s">
        <v>3185</v>
      </c>
      <c r="E133" s="35">
        <f t="shared" si="61"/>
        <v>103.56</v>
      </c>
      <c r="F133" s="36"/>
      <c r="G133" s="37">
        <f t="shared" si="36"/>
        <v>54.1</v>
      </c>
      <c r="H133" s="38">
        <f t="shared" si="37"/>
        <v>54.1</v>
      </c>
      <c r="I133" s="39">
        <v>54.1</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t="str">
        <f t="shared" si="64"/>
        <v>911</v>
      </c>
      <c r="AY133" s="42">
        <f t="shared" si="39"/>
        <v>103.56</v>
      </c>
      <c r="AZ133" s="35">
        <f t="shared" si="40"/>
        <v>54.1</v>
      </c>
      <c r="BA133" s="35">
        <f t="shared" si="41"/>
        <v>54.1</v>
      </c>
      <c r="BB133" s="35">
        <f t="shared" si="42"/>
        <v>54.1</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t="s">
        <v>3182</v>
      </c>
      <c r="D134" s="2217" t="s">
        <v>3185</v>
      </c>
      <c r="E134" s="35">
        <f t="shared" si="61"/>
        <v>103.79</v>
      </c>
      <c r="F134" s="36"/>
      <c r="G134" s="37">
        <f t="shared" si="36"/>
        <v>54.22</v>
      </c>
      <c r="H134" s="38">
        <f t="shared" si="37"/>
        <v>54.22</v>
      </c>
      <c r="I134" s="39">
        <v>54.22</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t="str">
        <f t="shared" si="64"/>
        <v>912</v>
      </c>
      <c r="AY134" s="42">
        <f t="shared" si="39"/>
        <v>103.79</v>
      </c>
      <c r="AZ134" s="35">
        <f t="shared" si="40"/>
        <v>54.22</v>
      </c>
      <c r="BA134" s="35">
        <f t="shared" si="41"/>
        <v>54.22</v>
      </c>
      <c r="BB134" s="35">
        <f t="shared" si="42"/>
        <v>54.22</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t="s">
        <v>3183</v>
      </c>
      <c r="D135" s="2217" t="s">
        <v>3185</v>
      </c>
      <c r="E135" s="35">
        <f t="shared" si="61"/>
        <v>133.59</v>
      </c>
      <c r="F135" s="36"/>
      <c r="G135" s="37">
        <f t="shared" si="36"/>
        <v>69.790000000000006</v>
      </c>
      <c r="H135" s="38">
        <f t="shared" si="37"/>
        <v>69.790000000000006</v>
      </c>
      <c r="I135" s="39">
        <v>69.790000000000006</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t="str">
        <f t="shared" si="64"/>
        <v>913</v>
      </c>
      <c r="AY135" s="42">
        <f t="shared" si="39"/>
        <v>133.59</v>
      </c>
      <c r="AZ135" s="35">
        <f t="shared" si="40"/>
        <v>69.790000000000006</v>
      </c>
      <c r="BA135" s="35">
        <f t="shared" si="41"/>
        <v>69.790000000000006</v>
      </c>
      <c r="BB135" s="35">
        <f t="shared" si="42"/>
        <v>69.790000000000006</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E3" sqref="E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3278">
        <f>'数据-基础表'!AY6</f>
        <v>14160.27</v>
      </c>
      <c r="E3" s="46">
        <f>'数据-基础表'!AZ5</f>
        <v>7397.6099999999988</v>
      </c>
      <c r="F3" s="1395"/>
      <c r="G3" s="1402"/>
      <c r="H3" s="1250" t="s">
        <v>1911</v>
      </c>
      <c r="I3" s="55">
        <f>ROUND('数据-基础表'!B3/'数据-基础表'!A3,2)</f>
        <v>0.52</v>
      </c>
      <c r="J3" s="1395"/>
      <c r="K3" s="1395"/>
      <c r="L3" s="1395"/>
      <c r="M3" s="1395"/>
      <c r="N3" s="1430"/>
      <c r="O3" s="1395"/>
      <c r="P3" s="1395"/>
    </row>
    <row r="4" spans="1:16" ht="15">
      <c r="A4" s="3038"/>
      <c r="B4" s="3039"/>
      <c r="C4" s="3040"/>
      <c r="D4" s="2235" t="s">
        <v>1912</v>
      </c>
      <c r="E4" s="2236" t="s">
        <v>1913</v>
      </c>
      <c r="F4" s="1395"/>
      <c r="G4" s="2237" t="s">
        <v>1938</v>
      </c>
      <c r="H4" s="1250" t="s">
        <v>1918</v>
      </c>
      <c r="I4" s="55">
        <f>ROUND(SUMIF('数据-基础表'!I9:AS9,"地上",'数据-基础表'!I5:AS5)/'数据-基础表'!A3,2)</f>
        <v>0.52</v>
      </c>
      <c r="J4" s="1395"/>
      <c r="K4" s="1395"/>
      <c r="L4" s="1395"/>
      <c r="M4" s="1395"/>
      <c r="N4" s="1430"/>
      <c r="O4" s="1395"/>
      <c r="P4" s="1395"/>
    </row>
    <row r="5" spans="1:16">
      <c r="A5" s="47" t="s">
        <v>1914</v>
      </c>
      <c r="B5" s="3041" t="s">
        <v>1915</v>
      </c>
      <c r="C5" s="3041"/>
      <c r="D5" s="48">
        <f>ROUND($D$3*E5/$E$3,2)</f>
        <v>0</v>
      </c>
      <c r="E5" s="49">
        <f>SUMIF('数据-基础表'!$11:$11,"住宅",'数据-基础表'!$5:$5)</f>
        <v>0</v>
      </c>
      <c r="F5" s="1395"/>
      <c r="G5" s="1402"/>
      <c r="H5" s="1250" t="s">
        <v>1911</v>
      </c>
      <c r="I5" s="55">
        <f>ROUND(E31/D31,2)</f>
        <v>0.52</v>
      </c>
      <c r="J5" s="1395"/>
      <c r="K5" s="1395"/>
      <c r="L5" s="1395"/>
      <c r="M5" s="1395"/>
      <c r="N5" s="1395"/>
      <c r="O5" s="1395"/>
      <c r="P5" s="1395"/>
    </row>
    <row r="6" spans="1:16" ht="15" thickBot="1">
      <c r="A6" s="2238"/>
      <c r="B6" s="3041" t="s">
        <v>1916</v>
      </c>
      <c r="C6" s="3041"/>
      <c r="D6" s="48">
        <f>ROUND($D$3*E6/$E$3,2)</f>
        <v>14160.27</v>
      </c>
      <c r="E6" s="49">
        <f>E3-E5</f>
        <v>7397.6099999999988</v>
      </c>
      <c r="F6" s="1395"/>
      <c r="G6" s="2239" t="s">
        <v>1917</v>
      </c>
      <c r="H6" s="1402" t="s">
        <v>1918</v>
      </c>
      <c r="I6" s="942">
        <f>ROUND(F31/D31,2)</f>
        <v>0.52</v>
      </c>
      <c r="J6" s="1395"/>
      <c r="K6" s="1395"/>
      <c r="L6" s="1395"/>
      <c r="M6" s="1395"/>
      <c r="N6" s="1395"/>
      <c r="O6" s="1395"/>
      <c r="P6" s="1395"/>
    </row>
    <row r="7" spans="1:16" ht="15">
      <c r="A7" s="3033"/>
      <c r="B7" s="3034"/>
      <c r="C7" s="3035"/>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14160.27</v>
      </c>
      <c r="E8" s="51">
        <f>SUMIF('数据-基础表'!BB10:BK10,"地上",'数据-基础表'!BB5:BK5)</f>
        <v>7397.6099999999988</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14160.27</v>
      </c>
      <c r="E16" s="53">
        <f>SUM(E8:E15)</f>
        <v>7397.6099999999988</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3187</v>
      </c>
      <c r="D19" s="48">
        <f>ROUND($D$3*E19/$E$3,2)</f>
        <v>14160.27</v>
      </c>
      <c r="E19" s="56">
        <f t="shared" ref="E19:E26" si="1">SUM(F19:G19)</f>
        <v>7397.6099999999988</v>
      </c>
      <c r="F19" s="57">
        <f>SUM('数据-基础表'!I13:I91,'数据-基础表'!I93:I105,'数据-基础表'!I108:I127,'数据-基础表'!I129,'数据-基础表'!I131:I135)</f>
        <v>7397.6099999999988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14160.27</v>
      </c>
      <c r="S19" s="1251">
        <f t="shared" si="5"/>
        <v>7397.6099999999988</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14160.27</v>
      </c>
      <c r="E27" s="1397">
        <f>IF(SUM(E19:E26)='数据-基础表'!BA5,SUM(E19:E26),IF(F27="地上面积有误","面积有误","地下面积有误"))</f>
        <v>7397.6099999999988</v>
      </c>
      <c r="F27" s="1396">
        <f>IF(SUM(F19:F26)=E8,SUM(F19:F26),"地上面积有误")</f>
        <v>7397.6099999999988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14160.27</v>
      </c>
      <c r="S27" s="1250">
        <f>IF(SUM(S19:S26)=$E$3,SUM(S19:S26),SUM(S19:S26)&amp;"误差"&amp;ROUND(SUM(S19:S26)-E3,2))</f>
        <v>7397.6099999999988</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14160.27</v>
      </c>
      <c r="E31" s="729">
        <f>E27+E30</f>
        <v>7397.6099999999988</v>
      </c>
      <c r="F31" s="730">
        <f>F27+F30</f>
        <v>7397.6099999999988</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6">
      <c r="D33" s="2275"/>
    </row>
    <row r="38" spans="4:6">
      <c r="E38" s="2950" t="s">
        <v>3196</v>
      </c>
      <c r="F38" s="2230">
        <f>'[1]土地比较法-住宅、综合'!$C$48</f>
        <v>1613</v>
      </c>
    </row>
    <row r="39" spans="4:6">
      <c r="E39" s="2950" t="s">
        <v>3197</v>
      </c>
      <c r="F39" s="2230">
        <f>F38*D3/10000</f>
        <v>2284.051551</v>
      </c>
    </row>
    <row r="40" spans="4:6">
      <c r="E40" s="2950" t="s">
        <v>3198</v>
      </c>
      <c r="F40" s="2230">
        <f>F39/'数据-基础表'!I5*10000</f>
        <v>2995.3203123770568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43598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3188</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7397.6099999999988</v>
      </c>
      <c r="L6" s="3280">
        <v>3500</v>
      </c>
      <c r="M6" s="75">
        <f t="shared" ref="M6:M14" si="0">ROUND(K6*L6/10000,0)</f>
        <v>2589</v>
      </c>
      <c r="N6" s="801">
        <v>0.97</v>
      </c>
      <c r="O6" s="75" t="str">
        <f>IF($N$5="成新度","——",ROUND(M6*N6,0))</f>
        <v>——</v>
      </c>
      <c r="P6" s="76" t="str">
        <f>IF($N$5="成新度","——",M6-O6)</f>
        <v>——</v>
      </c>
      <c r="Q6" s="3279">
        <v>0.15</v>
      </c>
      <c r="R6" s="77">
        <f ca="1">SUMIF('数据-汇总表'!C$19:C$33,A6,'数据-汇总表'!R$19:R$27)</f>
        <v>14160.27</v>
      </c>
      <c r="S6" s="54">
        <f>IF('数据-汇总表'!$I$17="按面积比例",SUMIF('数据-汇总表'!C$19:C$33,A6,'数据-汇总表'!K$19:K$33),SUMIF('数据-汇总表'!C$19:C$33,A6,'数据-汇总表'!N$19:N$33))</f>
        <v>0</v>
      </c>
      <c r="T6" s="1446">
        <f>ROUND($L$14*S6/10000,0)</f>
        <v>0</v>
      </c>
      <c r="U6" s="3281">
        <v>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0.02</v>
      </c>
      <c r="AN6" s="2313" t="s">
        <v>3189</v>
      </c>
      <c r="AO6" s="55">
        <f ca="1">SUMIF(INDIRECT("'"&amp;AN6&amp;"'"&amp;"!A:A"),"总价",INDIRECT("'"&amp;AN6&amp;"'"&amp;"!B:B"))</f>
        <v>6776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0.94799999999999995</v>
      </c>
      <c r="H16" s="99">
        <f>ROUND(SUMPRODUCT(H6:H13,K6:K13)/SUMPRODUCT((H6:H13&gt;0)*(K6:K13)),3)</f>
        <v>0.05</v>
      </c>
      <c r="I16" s="100"/>
      <c r="J16" s="100"/>
      <c r="K16" s="101">
        <f>SUM(K6:K15)</f>
        <v>7397.6099999999988</v>
      </c>
      <c r="L16" s="102">
        <f>ROUND(M16*10000/SUM(K6:K14),0)</f>
        <v>3500</v>
      </c>
      <c r="M16" s="102">
        <f>SUM(M6:M14)</f>
        <v>2589</v>
      </c>
      <c r="N16" s="103">
        <f>ROUND(SUMPRODUCT(M6:M14,N6:N14)/M16,3)</f>
        <v>0.97</v>
      </c>
      <c r="O16" s="102">
        <f>SUM(O6:O14)</f>
        <v>0</v>
      </c>
      <c r="P16" s="102">
        <f>SUM(P6:P14)</f>
        <v>0</v>
      </c>
      <c r="Q16" s="104">
        <f>ROUND(SUMPRODUCT(Q6:Q13,K6:K13)/SUMPRODUCT((Q6:Q13&gt;0)*(K6:K13)),2)</f>
        <v>0.15</v>
      </c>
      <c r="R16" s="1258">
        <f ca="1">SUM(R6:R13)</f>
        <v>14160.27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3</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140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180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137</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5</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1" sqref="E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7397.6099999999988</v>
      </c>
      <c r="C1" s="1745"/>
      <c r="D1" s="1745"/>
      <c r="E1" s="1745"/>
      <c r="F1" s="1745"/>
      <c r="G1" s="1743"/>
    </row>
    <row r="2" spans="1:10" ht="16.5">
      <c r="A2" s="1746" t="s">
        <v>1349</v>
      </c>
      <c r="B2" s="1746">
        <f>SUM(C14:C23)</f>
        <v>14160.27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7035</v>
      </c>
      <c r="C5" s="1746">
        <f ca="1">ROUND(B5*10000/$B$1,0)</f>
        <v>9510</v>
      </c>
      <c r="D5" s="1746">
        <f ca="1">ROUND(B5*10000/$B$2,0)</f>
        <v>4968</v>
      </c>
      <c r="E5" s="1745"/>
      <c r="F5" s="1743"/>
      <c r="G5" s="1743"/>
    </row>
    <row r="6" spans="1:10" ht="16.5">
      <c r="A6" s="1746" t="s">
        <v>1352</v>
      </c>
      <c r="B6" s="1746">
        <f ca="1">SUM(G14:G23)</f>
        <v>7035</v>
      </c>
      <c r="C6" s="1746">
        <f ca="1">ROUND(B6*10000/$B$1,0)</f>
        <v>9510</v>
      </c>
      <c r="D6" s="1746">
        <f ca="1">ROUND(B6*10000/$B$2,0)</f>
        <v>4968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7397.6099999999988</v>
      </c>
      <c r="C14" s="1744">
        <f>结果表!C118</f>
        <v>14160.27</v>
      </c>
      <c r="D14" s="1744">
        <f ca="1">结果表!H118</f>
        <v>7035</v>
      </c>
      <c r="E14" s="1744">
        <f ca="1">ROUND(D14*10000/B14,0)</f>
        <v>9510</v>
      </c>
      <c r="F14" s="1744">
        <f ca="1">ROUND(D14*10000/C14,0)</f>
        <v>4968</v>
      </c>
      <c r="G14" s="1744">
        <f ca="1">结果表!D122</f>
        <v>7035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3194</v>
      </c>
      <c r="H1" s="2426" t="str">
        <f>IF(G1="现房","——","估价对象范围")</f>
        <v>——</v>
      </c>
      <c r="I1" s="2427"/>
    </row>
    <row r="2" spans="1:12" ht="21.75" customHeight="1" thickBot="1">
      <c r="A2" s="3077" t="str">
        <f>项目基本情况!S2</f>
        <v>房地产</v>
      </c>
      <c r="B2" s="3078"/>
      <c r="C2" s="3078"/>
      <c r="D2" s="3078"/>
      <c r="E2" s="3078"/>
      <c r="F2" s="3078"/>
      <c r="G2" s="3078"/>
      <c r="H2" s="3078"/>
      <c r="I2" s="3079"/>
    </row>
    <row r="3" spans="1:12" ht="12.75">
      <c r="A3" s="3081" t="s">
        <v>2120</v>
      </c>
      <c r="B3" s="3082"/>
      <c r="C3" s="3082"/>
      <c r="D3" s="3082"/>
      <c r="E3" s="3082"/>
      <c r="F3" s="3082"/>
      <c r="G3" s="3082"/>
      <c r="H3" s="3082"/>
      <c r="I3" s="3082"/>
    </row>
    <row r="4" spans="1:12" ht="14.25">
      <c r="A4" s="2430" t="s">
        <v>2121</v>
      </c>
      <c r="B4" s="2431" t="s">
        <v>2122</v>
      </c>
      <c r="C4" s="2432" t="s">
        <v>3195</v>
      </c>
      <c r="D4" s="2432" t="s">
        <v>3189</v>
      </c>
      <c r="E4" s="3074" t="s">
        <v>2123</v>
      </c>
      <c r="F4" s="3075"/>
      <c r="G4" s="3075"/>
      <c r="H4" s="3075"/>
      <c r="I4" s="3083"/>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2124</v>
      </c>
      <c r="B5" s="2995">
        <v>25</v>
      </c>
      <c r="C5" s="3060"/>
      <c r="D5" s="3080"/>
      <c r="E5" s="140" t="s">
        <v>2125</v>
      </c>
      <c r="F5" s="2434"/>
      <c r="G5" s="2434"/>
      <c r="H5" s="2434"/>
      <c r="I5" s="1834"/>
    </row>
    <row r="6" spans="1:12" ht="12.75">
      <c r="A6" s="3057"/>
      <c r="B6" s="2995"/>
      <c r="C6" s="3061"/>
      <c r="D6" s="3080"/>
      <c r="E6" s="140" t="s">
        <v>2126</v>
      </c>
      <c r="F6" s="2434"/>
      <c r="G6" s="2434"/>
      <c r="H6" s="2434"/>
      <c r="I6" s="1834"/>
    </row>
    <row r="7" spans="1:12" ht="12.75">
      <c r="A7" s="3057"/>
      <c r="B7" s="2995"/>
      <c r="C7" s="3062"/>
      <c r="D7" s="3080"/>
      <c r="E7" s="140" t="s">
        <v>2127</v>
      </c>
      <c r="F7" s="2434"/>
      <c r="G7" s="2434"/>
      <c r="H7" s="2434"/>
      <c r="I7" s="1834"/>
    </row>
    <row r="8" spans="1:12" ht="12.75">
      <c r="A8" s="3057" t="s">
        <v>2128</v>
      </c>
      <c r="B8" s="2995">
        <v>15</v>
      </c>
      <c r="C8" s="3060"/>
      <c r="D8" s="3080"/>
      <c r="E8" s="140" t="s">
        <v>2129</v>
      </c>
      <c r="F8" s="2434"/>
      <c r="G8" s="2434"/>
      <c r="H8" s="2434"/>
      <c r="I8" s="1834"/>
    </row>
    <row r="9" spans="1:12" ht="12.75">
      <c r="A9" s="3057"/>
      <c r="B9" s="2995"/>
      <c r="C9" s="3062"/>
      <c r="D9" s="3080"/>
      <c r="E9" s="140" t="s">
        <v>2130</v>
      </c>
      <c r="F9" s="2434"/>
      <c r="G9" s="2434"/>
      <c r="H9" s="2434"/>
      <c r="I9" s="1834"/>
    </row>
    <row r="10" spans="1:12" ht="12.75">
      <c r="A10" s="3057" t="s">
        <v>2131</v>
      </c>
      <c r="B10" s="2995">
        <v>15</v>
      </c>
      <c r="C10" s="3060"/>
      <c r="D10" s="3080"/>
      <c r="E10" s="140" t="s">
        <v>2132</v>
      </c>
      <c r="F10" s="2434"/>
      <c r="G10" s="2434"/>
      <c r="H10" s="2434"/>
      <c r="I10" s="1834"/>
    </row>
    <row r="11" spans="1:12" ht="12.75">
      <c r="A11" s="3057"/>
      <c r="B11" s="2995"/>
      <c r="C11" s="3062"/>
      <c r="D11" s="3080"/>
      <c r="E11" s="140" t="s">
        <v>2133</v>
      </c>
      <c r="F11" s="2434"/>
      <c r="G11" s="2434"/>
      <c r="H11" s="2434"/>
      <c r="I11" s="1834"/>
    </row>
    <row r="12" spans="1:12" ht="12.75">
      <c r="A12" s="3057" t="s">
        <v>2134</v>
      </c>
      <c r="B12" s="2995">
        <v>15</v>
      </c>
      <c r="C12" s="3060"/>
      <c r="D12" s="3080"/>
      <c r="E12" s="140" t="s">
        <v>2135</v>
      </c>
      <c r="F12" s="2434"/>
      <c r="G12" s="2434"/>
      <c r="H12" s="2434"/>
      <c r="I12" s="1834"/>
    </row>
    <row r="13" spans="1:12" ht="12.75">
      <c r="A13" s="3057"/>
      <c r="B13" s="2995"/>
      <c r="C13" s="3062"/>
      <c r="D13" s="3080"/>
      <c r="E13" s="140" t="s">
        <v>2136</v>
      </c>
      <c r="F13" s="2434"/>
      <c r="G13" s="2434"/>
      <c r="H13" s="2434"/>
      <c r="I13" s="1834"/>
    </row>
    <row r="14" spans="1:12" ht="12.75">
      <c r="A14" s="3057" t="s">
        <v>2137</v>
      </c>
      <c r="B14" s="2995">
        <v>30</v>
      </c>
      <c r="C14" s="3060">
        <v>1</v>
      </c>
      <c r="D14" s="3080">
        <v>1</v>
      </c>
      <c r="E14" s="140" t="s">
        <v>2138</v>
      </c>
      <c r="F14" s="2434"/>
      <c r="G14" s="2434"/>
      <c r="H14" s="2434"/>
      <c r="I14" s="1834"/>
    </row>
    <row r="15" spans="1:12" ht="12.75">
      <c r="A15" s="3057"/>
      <c r="B15" s="2995"/>
      <c r="C15" s="3061"/>
      <c r="D15" s="3080"/>
      <c r="E15" s="140" t="s">
        <v>2139</v>
      </c>
      <c r="F15" s="2434"/>
      <c r="G15" s="2434"/>
      <c r="H15" s="2434"/>
      <c r="I15" s="1834"/>
    </row>
    <row r="16" spans="1:12" ht="12.75">
      <c r="A16" s="3057"/>
      <c r="B16" s="2995"/>
      <c r="C16" s="3062"/>
      <c r="D16" s="3080"/>
      <c r="E16" s="140" t="s">
        <v>2140</v>
      </c>
      <c r="F16" s="2434"/>
      <c r="G16" s="2434"/>
      <c r="H16" s="2434"/>
      <c r="I16" s="1834"/>
    </row>
    <row r="17" spans="1:35" ht="15">
      <c r="A17" s="2435" t="s">
        <v>2141</v>
      </c>
      <c r="B17" s="64"/>
      <c r="C17" s="141">
        <f>SUM(C5:C16)</f>
        <v>1</v>
      </c>
      <c r="D17" s="141">
        <f>SUM(D5:D16)</f>
        <v>1</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7397.6099999999988</v>
      </c>
      <c r="M18" s="2433">
        <f>IF(C1="",'数据-汇总表'!E3,SUMIF(项目类型,C1,'数据-汇总表'!E17:E26))</f>
        <v>7397.6099999999988</v>
      </c>
    </row>
    <row r="19" spans="1:35" ht="15">
      <c r="A19" s="2439" t="s">
        <v>2146</v>
      </c>
      <c r="B19" s="2440" t="s">
        <v>2147</v>
      </c>
      <c r="C19" s="143">
        <f ca="1">SUMIF(INDIRECT("'"&amp;C4&amp;"'"&amp;"!A:A"),结果表!B19,INDIRECT("'"&amp;C4&amp;"'"&amp;"!B:B"))</f>
        <v>7294</v>
      </c>
      <c r="D19" s="144">
        <f ca="1">SUMIF(INDIRECT("'"&amp;D4&amp;"'"&amp;"!A:A"),结果表!B19,INDIRECT("'"&amp;D4&amp;"'"&amp;"!B:B"))</f>
        <v>6776</v>
      </c>
      <c r="E19" s="2439" t="s">
        <v>2148</v>
      </c>
      <c r="F19" s="2440" t="s">
        <v>2147</v>
      </c>
      <c r="G19" s="145">
        <f ca="1">ROUND(C19*$C$18+D19*$D$18,0)</f>
        <v>7035</v>
      </c>
      <c r="H19" s="2441" t="s">
        <v>2149</v>
      </c>
      <c r="I19" s="138"/>
      <c r="K19" s="2433" t="s">
        <v>2150</v>
      </c>
      <c r="L19" s="2433">
        <f>IF(C1="",'数据-汇总表'!D3,SUMIF(项目类型,C1,'数据-汇总表'!D17:D26)+SUMIF(项目类型,C1,'数据-汇总表'!H17:H27))</f>
        <v>14160.27</v>
      </c>
      <c r="M19" s="2433">
        <f>IF(C1="",'数据-汇总表'!D3,SUMIF(项目类型,C1,'数据-汇总表'!D17:D26))</f>
        <v>14160.27</v>
      </c>
    </row>
    <row r="20" spans="1:35" ht="15">
      <c r="A20" s="2442"/>
      <c r="B20" s="1250" t="s">
        <v>2151</v>
      </c>
      <c r="C20" s="146">
        <f ca="1">SUMIF(INDIRECT("'"&amp;C4&amp;"'"&amp;"!A:A"),结果表!B20,INDIRECT("'"&amp;C4&amp;"'"&amp;"!B:B"))</f>
        <v>9860</v>
      </c>
      <c r="D20" s="147">
        <f ca="1">SUMIF(INDIRECT("'"&amp;D4&amp;"'"&amp;"!A:A"),结果表!B20,INDIRECT("'"&amp;D4&amp;"'"&amp;"!B:B"))</f>
        <v>9160</v>
      </c>
      <c r="E20" s="2442"/>
      <c r="F20" s="1250" t="s">
        <v>2151</v>
      </c>
      <c r="G20" s="148">
        <f ca="1">ROUND(C20*$C$18+D20*$D$18,0)</f>
        <v>9510</v>
      </c>
      <c r="H20" s="983" t="s">
        <v>2152</v>
      </c>
      <c r="I20" s="138"/>
    </row>
    <row r="21" spans="1:35" ht="15" customHeight="1" thickBot="1">
      <c r="A21" s="1003"/>
      <c r="B21" s="2443" t="s">
        <v>2153</v>
      </c>
      <c r="C21" s="789">
        <f ca="1">ROUND(C19*10000/L19,0)</f>
        <v>5151</v>
      </c>
      <c r="D21" s="790">
        <f ca="1">ROUND(D19*10000/L19,0)</f>
        <v>4785</v>
      </c>
      <c r="E21" s="1003"/>
      <c r="F21" s="2443" t="s">
        <v>2153</v>
      </c>
      <c r="G21" s="149">
        <f ca="1">ROUND(G19*10000/L19,0)</f>
        <v>4968</v>
      </c>
      <c r="H21" s="2444" t="s">
        <v>2152</v>
      </c>
      <c r="I21" s="138"/>
    </row>
    <row r="22" spans="1:35" ht="15" thickBot="1">
      <c r="A22" s="2285" t="s">
        <v>2154</v>
      </c>
      <c r="B22" s="2445"/>
      <c r="C22" s="2446"/>
      <c r="D22" s="791">
        <f ca="1">IF(C19&lt;D19,D19/C19-1,C19/D19-1)</f>
        <v>7.6446280991735449E-2</v>
      </c>
      <c r="E22" s="138"/>
      <c r="F22" s="138"/>
      <c r="G22" s="138"/>
      <c r="H22" s="138"/>
      <c r="I22" s="138"/>
    </row>
    <row r="23" spans="1:35" ht="13.5" thickBot="1">
      <c r="A23" s="2423"/>
      <c r="B23" s="2423"/>
      <c r="C23" s="2423"/>
      <c r="D23" s="2423"/>
      <c r="E23" s="138"/>
      <c r="F23" s="138"/>
      <c r="G23" s="138"/>
      <c r="H23" s="138"/>
      <c r="I23" s="138"/>
    </row>
    <row r="24" spans="1:35" ht="14.25">
      <c r="A24" s="3051" t="s">
        <v>2155</v>
      </c>
      <c r="B24" s="2440" t="s">
        <v>2147</v>
      </c>
      <c r="C24" s="145">
        <f>IF(B30=0,0,D30)</f>
        <v>0</v>
      </c>
      <c r="D24" s="2447"/>
      <c r="E24" s="138"/>
      <c r="F24" s="138"/>
      <c r="G24" s="138"/>
      <c r="H24" s="138"/>
      <c r="I24" s="138"/>
    </row>
    <row r="25" spans="1:35" ht="14.25">
      <c r="A25" s="305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7035</v>
      </c>
      <c r="D32" s="2454" t="s">
        <v>2162</v>
      </c>
      <c r="E32" s="138"/>
      <c r="F32" s="138"/>
      <c r="G32" s="138"/>
      <c r="H32" s="138"/>
      <c r="I32" s="138"/>
    </row>
    <row r="33" spans="1:15" ht="15">
      <c r="A33" s="960" t="s">
        <v>2163</v>
      </c>
      <c r="B33" s="2455"/>
      <c r="C33" s="2456" t="s">
        <v>3199</v>
      </c>
      <c r="D33" s="2457" t="s">
        <v>3189</v>
      </c>
      <c r="E33" s="2458" t="s">
        <v>2164</v>
      </c>
      <c r="F33" s="2459" t="str">
        <f>IF(D32="楼面单价","取值（单价）","取值（总价）")</f>
        <v>取值（总价）</v>
      </c>
      <c r="G33" s="138"/>
      <c r="H33" s="138"/>
      <c r="I33" s="138"/>
    </row>
    <row r="34" spans="1:15" ht="15">
      <c r="A34" s="2460"/>
      <c r="B34" s="2461" t="s">
        <v>2165</v>
      </c>
      <c r="C34" s="157">
        <f ca="1">IF(C33="自定义",F34,C32-C35)</f>
        <v>542</v>
      </c>
      <c r="D34" s="1058">
        <f ca="1">IF(C33="自定义",ROUND(C34/C32,3),IF(C33="收益比率",SUMIF(INDIRECT("'"&amp;D33&amp;"'"&amp;"!b:b"),"土地收益比率",INDIRECT("'"&amp;D33&amp;"'"&amp;"!c:c")),SUMIF(INDIRECT("'"&amp;D33&amp;"'"&amp;"!b:b"),"土地成本比率",INDIRECT("'"&amp;D33&amp;"'"&amp;"!c:c"))))</f>
        <v>7.6999999999999957E-2</v>
      </c>
      <c r="E34" s="2462" t="s">
        <v>2166</v>
      </c>
      <c r="F34" s="1739"/>
      <c r="G34" s="138"/>
      <c r="H34" s="138"/>
      <c r="I34" s="138"/>
    </row>
    <row r="35" spans="1:15" ht="15.75" thickBot="1">
      <c r="A35" s="2463"/>
      <c r="B35" s="2464" t="s">
        <v>2167</v>
      </c>
      <c r="C35" s="1444">
        <f ca="1">IF(C33="自定义",F35,ROUND(C32*D35,0))</f>
        <v>6493</v>
      </c>
      <c r="D35" s="1445">
        <f ca="1">IF(C33="自定义",ROUND(C35/C32,3),IF(C33="收益比率",SUMIF(INDIRECT("'"&amp;D33&amp;"'"&amp;"!b:b"),"建筑物收益比率",INDIRECT("'"&amp;D33&amp;"'"&amp;"!c:c")),SUMIF(INDIRECT("'"&amp;D33&amp;"'"&amp;"!b:b"),"建筑物成本比率",INDIRECT("'"&amp;D33&amp;"'"&amp;"!c:c"))))</f>
        <v>0.92300000000000004</v>
      </c>
      <c r="E35" s="2465" t="s">
        <v>2168</v>
      </c>
      <c r="F35" s="163"/>
      <c r="G35" s="138"/>
      <c r="H35" s="138"/>
      <c r="I35" s="138"/>
    </row>
    <row r="36" spans="1:15" ht="15.75" thickBot="1">
      <c r="A36" s="3069" t="s">
        <v>2169</v>
      </c>
      <c r="B36" s="2466" t="s">
        <v>2170</v>
      </c>
      <c r="C36" s="154"/>
      <c r="D36" s="2467"/>
      <c r="E36" s="2468"/>
      <c r="F36" s="2469"/>
      <c r="G36" s="138"/>
      <c r="H36" s="138"/>
      <c r="I36" s="138"/>
    </row>
    <row r="37" spans="1:15" ht="15.75" thickBot="1">
      <c r="A37" s="3070"/>
      <c r="B37" s="2271" t="s">
        <v>2171</v>
      </c>
      <c r="C37" s="156"/>
      <c r="D37" s="1395"/>
      <c r="E37" s="1395"/>
      <c r="F37" s="2469"/>
      <c r="G37" s="138"/>
      <c r="H37" s="138"/>
      <c r="I37" s="138"/>
    </row>
    <row r="38" spans="1:15" ht="15.75" thickBot="1">
      <c r="A38" s="307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8" t="s">
        <v>2183</v>
      </c>
      <c r="B45" s="3049"/>
      <c r="C45" s="3050"/>
      <c r="D45" s="164">
        <f ca="1">ROUND(H101*F45,0)</f>
        <v>7035</v>
      </c>
      <c r="E45" s="165" t="s">
        <v>2184</v>
      </c>
      <c r="F45" s="166">
        <v>1</v>
      </c>
      <c r="G45" s="167" t="s">
        <v>2185</v>
      </c>
      <c r="H45" s="138"/>
      <c r="I45" s="138"/>
      <c r="J45" s="3108" t="s">
        <v>2186</v>
      </c>
      <c r="K45" s="3108"/>
      <c r="L45" s="3108"/>
      <c r="M45" s="3108"/>
      <c r="N45" s="3108"/>
      <c r="O45" s="3108"/>
    </row>
    <row r="46" spans="1:15" ht="14.25" customHeight="1">
      <c r="A46" s="3045" t="s">
        <v>2187</v>
      </c>
      <c r="B46" s="3046"/>
      <c r="C46" s="3046"/>
      <c r="D46" s="3046"/>
      <c r="E46" s="3046"/>
      <c r="F46" s="3046"/>
      <c r="G46" s="3047"/>
      <c r="H46" s="2485"/>
      <c r="I46" s="168"/>
      <c r="J46" s="1812">
        <v>1</v>
      </c>
      <c r="K46" s="3108" t="s">
        <v>2188</v>
      </c>
      <c r="L46" s="3108"/>
      <c r="M46" s="3128"/>
      <c r="N46" s="3128"/>
      <c r="O46" s="3128"/>
    </row>
    <row r="47" spans="1:15" ht="12" customHeight="1">
      <c r="A47" s="169" t="s">
        <v>2189</v>
      </c>
      <c r="B47" s="170"/>
      <c r="C47" s="171"/>
      <c r="D47" s="172" t="s">
        <v>2190</v>
      </c>
      <c r="E47" s="24" t="s">
        <v>2191</v>
      </c>
      <c r="F47" s="173" t="s">
        <v>2192</v>
      </c>
      <c r="G47" s="174" t="s">
        <v>2193</v>
      </c>
      <c r="H47" s="2485"/>
      <c r="I47" s="168"/>
      <c r="J47" s="1812">
        <v>2</v>
      </c>
      <c r="K47" s="3108" t="s">
        <v>2194</v>
      </c>
      <c r="L47" s="3108"/>
      <c r="M47" s="3129">
        <f>'数据-取费表'!B2</f>
        <v>43598</v>
      </c>
      <c r="N47" s="3129"/>
      <c r="O47" s="3129"/>
    </row>
    <row r="48" spans="1:15" ht="25.5">
      <c r="A48" s="3076" t="s">
        <v>2195</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8" t="s">
        <v>2198</v>
      </c>
      <c r="L48" s="3108"/>
      <c r="M48" s="3130">
        <f ca="1">H101</f>
        <v>7035</v>
      </c>
      <c r="N48" s="3130"/>
      <c r="O48" s="3130"/>
    </row>
    <row r="49" spans="1:35" ht="25.5" customHeight="1">
      <c r="A49" s="176" t="s">
        <v>2199</v>
      </c>
      <c r="B49" s="3044" t="s">
        <v>2200</v>
      </c>
      <c r="C49" s="3044"/>
      <c r="D49" s="177">
        <v>0</v>
      </c>
      <c r="E49" s="23" t="s">
        <v>2201</v>
      </c>
      <c r="F49" s="28" t="s">
        <v>34</v>
      </c>
      <c r="G49" s="3114"/>
      <c r="H49" s="138"/>
      <c r="I49" s="2488"/>
      <c r="J49" s="1812">
        <v>4</v>
      </c>
      <c r="K49" s="3108" t="str">
        <f>IF(项目基本情况!E8="房地产抵押价值","房地产抵押价值","抵押担保权已注销时的房地产抵押价值")</f>
        <v>房地产抵押价值</v>
      </c>
      <c r="L49" s="3108"/>
      <c r="M49" s="3130">
        <f ca="1">IF(项目基本情况!E8="房地产抵押价值",H107,H109)</f>
        <v>7035</v>
      </c>
      <c r="N49" s="3130"/>
      <c r="O49" s="3130"/>
    </row>
    <row r="50" spans="1:35" ht="25.5" customHeight="1">
      <c r="A50" s="178"/>
      <c r="B50" s="3044" t="s">
        <v>2202</v>
      </c>
      <c r="C50" s="3044"/>
      <c r="D50" s="179"/>
      <c r="E50" s="31"/>
      <c r="F50" s="180"/>
      <c r="G50" s="3115"/>
      <c r="H50" s="138"/>
      <c r="I50" s="2488"/>
      <c r="J50" s="3108" t="s">
        <v>2203</v>
      </c>
      <c r="K50" s="3108"/>
      <c r="L50" s="3108"/>
      <c r="M50" s="3108"/>
      <c r="N50" s="3108"/>
      <c r="O50" s="3108"/>
    </row>
    <row r="51" spans="1:35" ht="12" customHeight="1">
      <c r="A51" s="181"/>
      <c r="B51" s="3044" t="s">
        <v>2204</v>
      </c>
      <c r="C51" s="3044"/>
      <c r="D51" s="182"/>
      <c r="E51" s="30"/>
      <c r="F51" s="180"/>
      <c r="G51" s="3116"/>
      <c r="H51" s="138"/>
      <c r="I51" s="2488"/>
      <c r="J51" s="2489" t="s">
        <v>2205</v>
      </c>
      <c r="K51" s="3108" t="s">
        <v>2206</v>
      </c>
      <c r="L51" s="3108"/>
      <c r="M51" s="2489" t="s">
        <v>2207</v>
      </c>
      <c r="N51" s="2489" t="s">
        <v>2208</v>
      </c>
      <c r="O51" s="2489" t="s">
        <v>2209</v>
      </c>
    </row>
    <row r="52" spans="1:35" ht="24" customHeight="1">
      <c r="A52" s="183" t="s">
        <v>2210</v>
      </c>
      <c r="B52" s="3044" t="s">
        <v>2211</v>
      </c>
      <c r="C52" s="3044"/>
      <c r="D52" s="182">
        <f ca="1">ROUND(D45*'数据-取费表'!B41/(1+'数据-取费表'!C42),0)</f>
        <v>375</v>
      </c>
      <c r="E52" s="11" t="s">
        <v>2212</v>
      </c>
      <c r="F52" s="184">
        <f>'数据-取费表'!B41</f>
        <v>5.6000000000000001E-2</v>
      </c>
      <c r="G52" s="2490"/>
      <c r="H52" s="138"/>
      <c r="I52" s="2488"/>
      <c r="J52" s="1812">
        <v>1</v>
      </c>
      <c r="K52" s="3109" t="s">
        <v>2213</v>
      </c>
      <c r="L52" s="3109"/>
      <c r="M52" s="1754">
        <f>D48</f>
        <v>0</v>
      </c>
      <c r="N52" s="1812" t="str">
        <f>E48</f>
        <v>销售额×税（费）率</v>
      </c>
      <c r="O52" s="1755" t="str">
        <f>F48</f>
        <v>免征</v>
      </c>
    </row>
    <row r="53" spans="1:35" ht="12" customHeight="1">
      <c r="A53" s="183" t="s">
        <v>2214</v>
      </c>
      <c r="B53" s="3067" t="s">
        <v>2215</v>
      </c>
      <c r="C53" s="3068"/>
      <c r="D53" s="182">
        <f ca="1">ROUND(D45*'数据-取费表'!B41/(1+'数据-取费表'!C42),0)</f>
        <v>375</v>
      </c>
      <c r="E53" s="11" t="s">
        <v>2212</v>
      </c>
      <c r="F53" s="184">
        <f>'数据-取费表'!B41</f>
        <v>5.6000000000000001E-2</v>
      </c>
      <c r="G53" s="2490"/>
      <c r="H53" s="138"/>
      <c r="I53" s="2488"/>
      <c r="J53" s="1812">
        <v>2</v>
      </c>
      <c r="K53" s="3109" t="s">
        <v>2216</v>
      </c>
      <c r="L53" s="3109"/>
      <c r="M53" s="1754">
        <f t="shared" ref="M53:O54" ca="1" si="0">D55</f>
        <v>4</v>
      </c>
      <c r="N53" s="1812" t="str">
        <f t="shared" si="0"/>
        <v>销售额×税（费）率</v>
      </c>
      <c r="O53" s="1755">
        <f t="shared" si="0"/>
        <v>5.0000000000000001E-4</v>
      </c>
    </row>
    <row r="54" spans="1:35" ht="12" customHeight="1">
      <c r="A54" s="183" t="s">
        <v>2217</v>
      </c>
      <c r="B54" s="3067" t="s">
        <v>2218</v>
      </c>
      <c r="C54" s="3068"/>
      <c r="D54" s="182">
        <f ca="1">C68</f>
        <v>375</v>
      </c>
      <c r="E54" s="30" t="s">
        <v>2219</v>
      </c>
      <c r="F54" s="184">
        <f>'数据-取费表'!B41</f>
        <v>5.6000000000000001E-2</v>
      </c>
      <c r="G54" s="2490"/>
      <c r="H54" s="2491"/>
      <c r="I54" s="2488"/>
      <c r="J54" s="1812">
        <v>3</v>
      </c>
      <c r="K54" s="3109" t="s">
        <v>2220</v>
      </c>
      <c r="L54" s="3109"/>
      <c r="M54" s="1754">
        <f t="shared" ca="1" si="0"/>
        <v>3982</v>
      </c>
      <c r="N54" s="1812" t="str">
        <f t="shared" si="0"/>
        <v>增值额×税（费）率</v>
      </c>
      <c r="O54" s="1756" t="str">
        <f t="shared" si="0"/>
        <v>——</v>
      </c>
    </row>
    <row r="55" spans="1:35" ht="24" customHeight="1">
      <c r="A55" s="3058" t="s">
        <v>2221</v>
      </c>
      <c r="B55" s="3059"/>
      <c r="C55" s="3059"/>
      <c r="D55" s="185">
        <f ca="1">IF(H55="个人住宅",0,ROUND(D45*I55,0))</f>
        <v>4</v>
      </c>
      <c r="E55" s="11" t="s">
        <v>2222</v>
      </c>
      <c r="F55" s="184">
        <f>IF(H55="正常",I55,"免征")</f>
        <v>5.0000000000000001E-4</v>
      </c>
      <c r="G55" s="2490"/>
      <c r="H55" s="2487" t="s">
        <v>2223</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2224</v>
      </c>
      <c r="B56" s="3059"/>
      <c r="C56" s="3059"/>
      <c r="D56" s="185">
        <f ca="1">IF(H56="个人住宅",D57,D58)</f>
        <v>3982</v>
      </c>
      <c r="E56" s="11" t="s">
        <v>2225</v>
      </c>
      <c r="F56" s="184" t="str">
        <f>IF(H56="正常",F58,"免征")</f>
        <v>——</v>
      </c>
      <c r="G56" s="2492" t="s">
        <v>2226</v>
      </c>
      <c r="H56" s="2493" t="s">
        <v>2223</v>
      </c>
      <c r="I56" s="2494"/>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2199</v>
      </c>
      <c r="B57" s="3074" t="s">
        <v>2227</v>
      </c>
      <c r="C57" s="3083"/>
      <c r="D57" s="187">
        <v>0</v>
      </c>
      <c r="E57" s="23" t="s">
        <v>2201</v>
      </c>
      <c r="F57" s="155"/>
      <c r="G57" s="2490"/>
      <c r="H57" s="2494"/>
      <c r="I57" s="2494"/>
      <c r="J57" s="3109">
        <f>IF(AND(J55="",J56=""),4,IF(项目基本情况!K6="上海银行",结果表!J56+1,结果表!J55+1))</f>
        <v>4</v>
      </c>
      <c r="K57" s="3109" t="s">
        <v>2228</v>
      </c>
      <c r="L57" s="2495" t="s">
        <v>2229</v>
      </c>
      <c r="M57" s="1759"/>
      <c r="N57" s="1760">
        <f ca="1">SUMIF(M52:M56,"&lt;9e307")</f>
        <v>3986</v>
      </c>
      <c r="O57" s="2496"/>
      <c r="P57" s="1753">
        <f ca="1">N57/M49</f>
        <v>0.56659559346126509</v>
      </c>
    </row>
    <row r="58" spans="1:35" ht="24.75">
      <c r="A58" s="183" t="s">
        <v>2210</v>
      </c>
      <c r="B58" s="3074" t="s">
        <v>2230</v>
      </c>
      <c r="C58" s="3075"/>
      <c r="D58" s="185">
        <f ca="1">IF(H58="转让取得",C81,C97)</f>
        <v>3982</v>
      </c>
      <c r="E58" s="11" t="s">
        <v>2225</v>
      </c>
      <c r="F58" s="24" t="s">
        <v>34</v>
      </c>
      <c r="G58" s="2490"/>
      <c r="H58" s="2493" t="s">
        <v>2231</v>
      </c>
      <c r="I58" s="2494"/>
      <c r="J58" s="3109"/>
      <c r="K58" s="3109"/>
      <c r="L58" s="2495" t="s">
        <v>2232</v>
      </c>
      <c r="M58" s="1761"/>
      <c r="N58" s="2497" t="str">
        <f ca="1">NUMBERSTRING(INT(N57*10000),2)&amp;"元整"</f>
        <v>叁仟玖佰捌拾陆万元整</v>
      </c>
      <c r="O58" s="2498"/>
    </row>
    <row r="59" spans="1:35" ht="24.75" thickBot="1">
      <c r="A59" s="3112" t="s">
        <v>2233</v>
      </c>
      <c r="B59" s="3113"/>
      <c r="C59" s="311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0">
        <f>J57+1</f>
        <v>5</v>
      </c>
      <c r="K59" s="3109" t="s">
        <v>2235</v>
      </c>
      <c r="L59" s="1812" t="s">
        <v>2229</v>
      </c>
      <c r="M59" s="1762"/>
      <c r="N59" s="1763">
        <f ca="1">M49-N57</f>
        <v>3049</v>
      </c>
      <c r="O59" s="2500"/>
    </row>
    <row r="60" spans="1:35" ht="12" customHeight="1">
      <c r="A60" s="2501"/>
      <c r="B60" s="2423"/>
      <c r="C60" s="2423"/>
      <c r="D60" s="2423"/>
      <c r="E60" s="2170"/>
      <c r="F60" s="2494"/>
      <c r="G60" s="2494"/>
      <c r="H60" s="2502"/>
      <c r="I60" s="138"/>
      <c r="J60" s="3111"/>
      <c r="K60" s="3109"/>
      <c r="L60" s="2495" t="s">
        <v>2232</v>
      </c>
      <c r="M60" s="1761"/>
      <c r="N60" s="2497" t="str">
        <f ca="1">NUMBERSTRING(INT(N59*10000),2)&amp;"元整"</f>
        <v>叁仟零肆拾玖万元整</v>
      </c>
      <c r="O60" s="2498"/>
    </row>
    <row r="61" spans="1:35" ht="13.5" thickBot="1">
      <c r="A61" s="3056" t="s">
        <v>2236</v>
      </c>
      <c r="B61" s="3056"/>
      <c r="C61" s="3056"/>
      <c r="D61" s="3056"/>
      <c r="E61" s="3056"/>
      <c r="F61" s="2494"/>
      <c r="G61" s="2494"/>
      <c r="H61" s="2502"/>
      <c r="I61" s="138"/>
      <c r="J61" s="1812">
        <f>J59+1</f>
        <v>6</v>
      </c>
      <c r="K61" s="3109" t="s">
        <v>2237</v>
      </c>
      <c r="L61" s="3109"/>
      <c r="M61" s="1764"/>
      <c r="N61" s="1765">
        <f ca="1">ROUND(N59*10000/'数据-汇总表'!E3,0)</f>
        <v>4122</v>
      </c>
      <c r="O61" s="2503"/>
    </row>
    <row r="62" spans="1:35" ht="12.75">
      <c r="A62" s="3072" t="s">
        <v>2238</v>
      </c>
      <c r="B62" s="3073"/>
      <c r="C62" s="1804"/>
      <c r="D62" s="1804" t="s">
        <v>2239</v>
      </c>
      <c r="E62" s="192" t="s">
        <v>2240</v>
      </c>
      <c r="F62" s="2494"/>
      <c r="G62" s="2494"/>
      <c r="H62" s="2502"/>
      <c r="I62" s="138"/>
    </row>
    <row r="63" spans="1:35" ht="12.75">
      <c r="A63" s="203" t="s">
        <v>775</v>
      </c>
      <c r="B63" s="193" t="s">
        <v>2241</v>
      </c>
      <c r="C63" s="194">
        <f ca="1">ROUND((C64+C65)/(1+'数据-取费表'!C42),0)</f>
        <v>6700</v>
      </c>
      <c r="D63" s="195"/>
      <c r="E63" s="196"/>
      <c r="F63" s="2494"/>
      <c r="G63" s="2494"/>
      <c r="H63" s="2502"/>
      <c r="I63" s="138"/>
      <c r="J63" s="3134" t="s">
        <v>2242</v>
      </c>
      <c r="K63" s="2504" t="s">
        <v>2243</v>
      </c>
      <c r="L63" s="1752">
        <f ca="1">IF(M49&gt;10000,M49*0.5%,IF(AND(M49&gt;1000,M49&lt;=10000),M49*1%,IF(AND(M49&gt;100,M49&lt;=1000),M49*3%,IF(AND(M49&gt;10,M49&lt;=100),M49*5%,M49*8%))))</f>
        <v>70.350000000000009</v>
      </c>
      <c r="M63" s="24">
        <f ca="1">ROUND(L63,1)</f>
        <v>70.400000000000006</v>
      </c>
      <c r="Z63" s="2428"/>
      <c r="AI63" s="2429"/>
    </row>
    <row r="64" spans="1:35" ht="14.25" customHeight="1">
      <c r="A64" s="197" t="s">
        <v>770</v>
      </c>
      <c r="B64" s="198" t="s">
        <v>2244</v>
      </c>
      <c r="C64" s="199">
        <f ca="1">D45</f>
        <v>7035</v>
      </c>
      <c r="D64" s="200" t="s">
        <v>32</v>
      </c>
      <c r="E64" s="201"/>
      <c r="F64" s="2494"/>
      <c r="G64" s="2494"/>
      <c r="H64" s="2502"/>
      <c r="I64" s="138"/>
      <c r="J64" s="3134"/>
      <c r="K64" s="2504" t="s">
        <v>2245</v>
      </c>
      <c r="L64" s="1752">
        <f ca="1">IF(M49&gt;2000,M49*0.5%,IF(AND(M49&gt;1000,M49&lt;=2000),M49*0.6%,IF(AND(M49&gt;500,M49&lt;=1000),M49*0.7%,IF(AND(M49&gt;200,M49&lt;=500),M49*0.8%,IF(AND(M49&gt;100,M49&lt;=200),M49*0.9%,IF(AND(M49&gt;50,M49&lt;=100),M49*1%,IF(AND(M49&gt;20,M49&lt;=50),M49*1.5%,IF(AND(M49&gt;10,M49&lt;=20),M49*2%,IF(AND(M49&gt;1,M49&lt;=10),M49*2.5%)))))))))</f>
        <v>35.175000000000004</v>
      </c>
      <c r="M64" s="24">
        <f t="shared" ref="M64:M65" ca="1" si="1">ROUND(L64,1)</f>
        <v>35.200000000000003</v>
      </c>
      <c r="N64" s="138" t="s">
        <v>2246</v>
      </c>
      <c r="Z64" s="2428"/>
      <c r="AI64" s="2429"/>
    </row>
    <row r="65" spans="1:35" ht="14.25" customHeight="1">
      <c r="A65" s="197" t="s">
        <v>771</v>
      </c>
      <c r="B65" s="198" t="s">
        <v>2247</v>
      </c>
      <c r="C65" s="202"/>
      <c r="D65" s="200"/>
      <c r="E65" s="201"/>
      <c r="F65" s="2494"/>
      <c r="G65" s="2494"/>
      <c r="H65" s="2502"/>
      <c r="I65" s="138"/>
      <c r="J65" s="3134"/>
      <c r="K65" s="2504" t="s">
        <v>2248</v>
      </c>
      <c r="L65" s="1752">
        <f ca="1">IF(M49&gt;1000,M49*0.1%,IF(AND(M49&gt;500,M49&lt;=1000),M49*0.5%,IF(AND(M49&gt;50,M49&lt;=500),M49*1%,IF(AND(M49&gt;1,M49&lt;=50),M49*1.5%))))</f>
        <v>7.0350000000000001</v>
      </c>
      <c r="M65" s="24">
        <f t="shared" ca="1" si="1"/>
        <v>7</v>
      </c>
      <c r="N65" s="138" t="s">
        <v>2246</v>
      </c>
      <c r="Z65" s="2428"/>
      <c r="AI65" s="2429"/>
    </row>
    <row r="66" spans="1:35" ht="14.25" customHeight="1">
      <c r="A66" s="203" t="s">
        <v>772</v>
      </c>
      <c r="B66" s="204" t="s">
        <v>2249</v>
      </c>
      <c r="C66" s="205"/>
      <c r="D66" s="206" t="s">
        <v>32</v>
      </c>
      <c r="E66" s="1776" t="s">
        <v>1367</v>
      </c>
      <c r="F66" s="2494"/>
      <c r="G66" s="2494"/>
      <c r="H66" s="2502"/>
      <c r="I66" s="138"/>
      <c r="J66" s="3134"/>
      <c r="K66" s="2504" t="s">
        <v>2250</v>
      </c>
      <c r="L66" s="1752">
        <f ca="1">M49*0.5%</f>
        <v>35.175000000000004</v>
      </c>
      <c r="M66" s="24">
        <f ca="1">IF(L66&gt;0.5,0.5,ROUND(L66,0))</f>
        <v>0.5</v>
      </c>
      <c r="N66" s="138" t="s">
        <v>2251</v>
      </c>
      <c r="Z66" s="2428"/>
      <c r="AI66" s="2429"/>
    </row>
    <row r="67" spans="1:35" ht="14.25" customHeight="1">
      <c r="A67" s="203" t="s">
        <v>773</v>
      </c>
      <c r="B67" s="204" t="s">
        <v>2252</v>
      </c>
      <c r="C67" s="207">
        <f ca="1">C63-C66</f>
        <v>6700</v>
      </c>
      <c r="D67" s="200" t="s">
        <v>32</v>
      </c>
      <c r="E67" s="201"/>
      <c r="F67" s="2494"/>
      <c r="G67" s="2494"/>
      <c r="H67" s="2502"/>
      <c r="I67" s="138"/>
      <c r="J67" s="3134"/>
      <c r="K67" s="2504" t="s">
        <v>2253</v>
      </c>
      <c r="L67" s="1752">
        <f ca="1">IF(M49&gt;=10000,(8.25+(M49-10000)*0.01%),IF(AND(M49&gt;=8000,M49&lt;10000),(7.85+(M49-8000)*0.02%),IF(AND(M49&gt;=5000,M49&lt;8000),(6.65+(M49-5000)*0.04%),IF(AND(M49&gt;=2000,M49&lt;5000),(4.25+(PM49-2000)*0.08%),IF(AND(M49&gt;=1000,M49&lt;2000),(2.75+(M49-1000)*0.15%),IF(AND(M49&gt;=100,M49&lt;1000),(0.5+(M49-100)*0.25%),IF(AND(M49&gt;0,M49&lt;100),M49*0.5%)))))))</f>
        <v>7.4640000000000004</v>
      </c>
      <c r="M67" s="24">
        <f ca="1">ROUND(L67*0.9,1)</f>
        <v>6.7</v>
      </c>
      <c r="Z67" s="2428"/>
      <c r="AI67" s="2429"/>
    </row>
    <row r="68" spans="1:35" ht="14.25" customHeight="1" thickBot="1">
      <c r="A68" s="208" t="s">
        <v>774</v>
      </c>
      <c r="B68" s="209" t="s">
        <v>2254</v>
      </c>
      <c r="C68" s="210">
        <f ca="1">IF(C67&lt;=0,0,ROUND(C67*D68,0))</f>
        <v>375</v>
      </c>
      <c r="D68" s="211">
        <f>'数据-取费表'!B41</f>
        <v>5.6000000000000001E-2</v>
      </c>
      <c r="E68" s="212"/>
      <c r="F68" s="2494"/>
      <c r="G68" s="2494"/>
      <c r="H68" s="2502"/>
      <c r="I68" s="138"/>
      <c r="J68" s="3134"/>
      <c r="K68" s="2504" t="s">
        <v>2255</v>
      </c>
      <c r="L68" s="1752">
        <f ca="1">IF(M49&gt;10000,M49*0.5%,IF(AND(M49&gt;5000,M49&lt;=10000),M49*1%,IF(AND(M49&gt;1000,M49&lt;=5000),M49*2%,IF(AND(M49&gt;200,M49&lt;=1000),M49*3%,M49*5%))))</f>
        <v>70.350000000000009</v>
      </c>
      <c r="M68" s="24">
        <f ca="1">ROUND(L68,1)</f>
        <v>70.400000000000006</v>
      </c>
      <c r="Z68" s="2428"/>
      <c r="AI68" s="2429"/>
    </row>
    <row r="69" spans="1:35" s="2451" customFormat="1" ht="16.5" customHeight="1">
      <c r="A69" s="2505"/>
      <c r="B69" s="2506"/>
      <c r="C69" s="2507"/>
      <c r="D69" s="2508"/>
      <c r="E69" s="2509"/>
      <c r="F69" s="2170"/>
      <c r="G69" s="2170"/>
      <c r="H69" s="2169"/>
      <c r="I69" s="2423"/>
      <c r="J69" s="3134"/>
      <c r="K69" s="2504" t="s">
        <v>2256</v>
      </c>
      <c r="L69" s="2510"/>
      <c r="M69" s="24">
        <f ca="1">ROUND(SUM(M63:M68),0)</f>
        <v>190</v>
      </c>
      <c r="N69" s="1753">
        <f ca="1">M69/M49</f>
        <v>2.7007818052594171E-2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3" t="s">
        <v>2257</v>
      </c>
      <c r="B70" s="3094"/>
      <c r="C70" s="3094"/>
      <c r="D70" s="3094"/>
      <c r="E70" s="3094"/>
      <c r="F70" s="3094"/>
      <c r="G70" s="3094"/>
      <c r="H70" s="309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2" t="s">
        <v>2238</v>
      </c>
      <c r="B71" s="307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6700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40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7" t="s">
        <v>2266</v>
      </c>
      <c r="F76" s="3044"/>
      <c r="G76" s="3044"/>
      <c r="H76" s="309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40</v>
      </c>
      <c r="D78" s="226">
        <f>'数据-取费表'!B43</f>
        <v>6.000000000000001E-3</v>
      </c>
      <c r="E78" s="3053" t="s">
        <v>2271</v>
      </c>
      <c r="F78" s="3054"/>
      <c r="G78" s="3054"/>
      <c r="H78" s="306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6660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3982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3" t="s">
        <v>2275</v>
      </c>
      <c r="B83" s="3094"/>
      <c r="C83" s="3094"/>
      <c r="D83" s="3094"/>
      <c r="E83" s="3094"/>
      <c r="F83" s="3094"/>
      <c r="G83" s="3094"/>
      <c r="H83" s="309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2" t="s">
        <v>2238</v>
      </c>
      <c r="B84" s="307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6700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40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3" t="s">
        <v>2284</v>
      </c>
      <c r="F91" s="3054"/>
      <c r="G91" s="305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3" t="s">
        <v>2288</v>
      </c>
      <c r="F92" s="3054"/>
      <c r="G92" s="3054"/>
      <c r="H92" s="306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40</v>
      </c>
      <c r="D93" s="226">
        <f>'数据-取费表'!B43</f>
        <v>6.000000000000001E-3</v>
      </c>
      <c r="E93" s="3053" t="s">
        <v>2271</v>
      </c>
      <c r="F93" s="3054"/>
      <c r="G93" s="3054"/>
      <c r="H93" s="306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4" t="s">
        <v>2292</v>
      </c>
      <c r="F94" s="3065"/>
      <c r="G94" s="3065"/>
      <c r="H94" s="306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6660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3982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55"/>
      <c r="E100" s="3039" t="s">
        <v>2295</v>
      </c>
      <c r="F100" s="3039"/>
      <c r="G100" s="3039"/>
      <c r="H100" s="3055"/>
      <c r="I100" s="138"/>
    </row>
    <row r="101" spans="1:35" ht="18.75" customHeight="1">
      <c r="A101" s="3117" t="s">
        <v>2296</v>
      </c>
      <c r="B101" s="3118"/>
      <c r="C101" s="736" t="str">
        <f>C4</f>
        <v>成本法</v>
      </c>
      <c r="D101" s="737" t="str">
        <f>D4</f>
        <v>收益法</v>
      </c>
      <c r="E101" s="3131" t="s">
        <v>2297</v>
      </c>
      <c r="F101" s="3085"/>
      <c r="G101" s="2525" t="s">
        <v>2298</v>
      </c>
      <c r="H101" s="1048">
        <f ca="1">H118</f>
        <v>7035</v>
      </c>
      <c r="I101" s="138"/>
    </row>
    <row r="102" spans="1:35" ht="18.75" customHeight="1">
      <c r="A102" s="3087" t="s">
        <v>2299</v>
      </c>
      <c r="B102" s="2525" t="s">
        <v>2298</v>
      </c>
      <c r="C102" s="736">
        <f ca="1">C19</f>
        <v>7294</v>
      </c>
      <c r="D102" s="737">
        <f ca="1">D19</f>
        <v>6776</v>
      </c>
      <c r="E102" s="3131"/>
      <c r="F102" s="3085"/>
      <c r="G102" s="2525" t="s">
        <v>2300</v>
      </c>
      <c r="H102" s="371">
        <f ca="1">I118</f>
        <v>9510</v>
      </c>
      <c r="I102" s="138"/>
    </row>
    <row r="103" spans="1:35" ht="42.75" customHeight="1">
      <c r="A103" s="3087"/>
      <c r="B103" s="2525" t="s">
        <v>2300</v>
      </c>
      <c r="C103" s="738">
        <f ca="1">C20</f>
        <v>9860</v>
      </c>
      <c r="D103" s="739">
        <f ca="1">D20</f>
        <v>9160</v>
      </c>
      <c r="E103" s="3126" t="s">
        <v>2301</v>
      </c>
      <c r="F103" s="3127"/>
      <c r="G103" s="2526" t="s">
        <v>2302</v>
      </c>
      <c r="H103" s="1048">
        <f>IF(D36="正常操作",H104+H105+H106,H105+H106)</f>
        <v>0</v>
      </c>
      <c r="I103" s="138"/>
    </row>
    <row r="104" spans="1:35" ht="18.75" customHeight="1">
      <c r="A104" s="3087" t="s">
        <v>2303</v>
      </c>
      <c r="B104" s="2527" t="s">
        <v>2298</v>
      </c>
      <c r="C104" s="740">
        <f ca="1">H118</f>
        <v>7035</v>
      </c>
      <c r="D104" s="741"/>
      <c r="E104" s="2271" t="s">
        <v>2304</v>
      </c>
      <c r="F104" s="2262"/>
      <c r="G104" s="2526" t="s">
        <v>2302</v>
      </c>
      <c r="H104" s="1049">
        <f>IF(D36="同一抵押权人同一抵押物续贷",C36&amp;"（未扣减，详见特别提示）",C36)</f>
        <v>0</v>
      </c>
      <c r="I104" s="138"/>
    </row>
    <row r="105" spans="1:35" ht="18.75" customHeight="1" thickBot="1">
      <c r="A105" s="3088"/>
      <c r="B105" s="2528" t="s">
        <v>2300</v>
      </c>
      <c r="C105" s="742">
        <f ca="1">I118</f>
        <v>9510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4" t="str">
        <f>IF(项目基本情况!E8="已注销","——","3.房地产抵押价值")</f>
        <v>3.房地产抵押价值</v>
      </c>
      <c r="F107" s="3085"/>
      <c r="G107" s="2525" t="s">
        <v>2298</v>
      </c>
      <c r="H107" s="1048">
        <f ca="1">IF(E107="——","——",H101-H103)</f>
        <v>7035</v>
      </c>
      <c r="I107" s="138"/>
    </row>
    <row r="108" spans="1:35" ht="18.75" customHeight="1">
      <c r="A108" s="138"/>
      <c r="B108" s="138"/>
      <c r="C108" s="138"/>
      <c r="D108" s="138"/>
      <c r="E108" s="3084"/>
      <c r="F108" s="3085"/>
      <c r="G108" s="2525" t="s">
        <v>2300</v>
      </c>
      <c r="H108" s="371">
        <f ca="1">ROUND(H107*10000/'数据-汇总表'!E3,0)</f>
        <v>9510</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5" t="s">
        <v>2298</v>
      </c>
      <c r="H109" s="348" t="str">
        <f>IF(E109="——","——",H101-H105-H106)</f>
        <v>——</v>
      </c>
      <c r="I109" s="138"/>
    </row>
    <row r="110" spans="1:35" ht="18.75" customHeight="1">
      <c r="A110" s="138"/>
      <c r="B110" s="138"/>
      <c r="C110" s="138"/>
      <c r="D110" s="138"/>
      <c r="E110" s="3084"/>
      <c r="F110" s="3085"/>
      <c r="G110" s="2525"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5" t="s">
        <v>2298</v>
      </c>
      <c r="H111" s="1048" t="str">
        <f>IF(E111="——","——",N59)</f>
        <v>——</v>
      </c>
      <c r="I111" s="138"/>
    </row>
    <row r="112" spans="1:35" ht="18.75" customHeight="1" thickBot="1">
      <c r="A112" s="138"/>
      <c r="B112" s="138"/>
      <c r="C112" s="138"/>
      <c r="D112" s="138"/>
      <c r="E112" s="3121"/>
      <c r="F112" s="3122"/>
      <c r="G112" s="2530" t="s">
        <v>2300</v>
      </c>
      <c r="H112" s="790" t="str">
        <f>IF(E111="——","——",N61)</f>
        <v>——</v>
      </c>
      <c r="I112" s="138"/>
    </row>
    <row r="113" spans="1:11" ht="18.75" customHeight="1">
      <c r="A113" s="138"/>
      <c r="B113" s="138"/>
      <c r="C113" s="138"/>
      <c r="D113" s="138"/>
      <c r="E113" s="3089" t="s">
        <v>2306</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2308</v>
      </c>
      <c r="B115" s="3103"/>
      <c r="C115" s="3103"/>
      <c r="D115" s="3103"/>
      <c r="E115" s="3103"/>
      <c r="F115" s="3103"/>
      <c r="G115" s="3103"/>
      <c r="H115" s="3103"/>
      <c r="I115" s="3104"/>
    </row>
    <row r="116" spans="1:11" ht="27" customHeight="1">
      <c r="A116" s="2995" t="s">
        <v>2309</v>
      </c>
      <c r="B116" s="3090" t="s">
        <v>2310</v>
      </c>
      <c r="C116" s="3090" t="s">
        <v>2311</v>
      </c>
      <c r="D116" s="3106" t="s">
        <v>2312</v>
      </c>
      <c r="E116" s="3107"/>
      <c r="F116" s="3098" t="s">
        <v>2313</v>
      </c>
      <c r="G116" s="3098"/>
      <c r="H116" s="2995" t="s">
        <v>2314</v>
      </c>
      <c r="I116" s="2995"/>
    </row>
    <row r="117" spans="1:11" ht="18.75" customHeight="1">
      <c r="A117" s="2995"/>
      <c r="B117" s="3091"/>
      <c r="C117" s="3091"/>
      <c r="D117" s="1798" t="s">
        <v>2315</v>
      </c>
      <c r="E117" s="1798" t="s">
        <v>2316</v>
      </c>
      <c r="F117" s="1798" t="s">
        <v>2315</v>
      </c>
      <c r="G117" s="1798" t="s">
        <v>2317</v>
      </c>
      <c r="H117" s="1798" t="s">
        <v>2315</v>
      </c>
      <c r="I117" s="1798" t="s">
        <v>2317</v>
      </c>
    </row>
    <row r="118" spans="1:11" ht="24.75" customHeight="1">
      <c r="A118" s="2531" t="str">
        <f>项目基本情况!S2</f>
        <v>房地产</v>
      </c>
      <c r="B118" s="1798">
        <f>M18</f>
        <v>7397.6099999999988</v>
      </c>
      <c r="C118" s="1798">
        <f>M19</f>
        <v>14160.27</v>
      </c>
      <c r="D118" s="1798">
        <f ca="1">ROUND(IF(D32="总价",C34,E118*B118/10000),0)</f>
        <v>542</v>
      </c>
      <c r="E118" s="1798">
        <f ca="1">ROUND(IF(C33="自定义",IF(D32="楼面单价",C34,D118*10000/B118),I118-G118),0)</f>
        <v>733</v>
      </c>
      <c r="F118" s="1798">
        <f ca="1">ROUND(IF(D32="总价",C35,G118*B118/10000),0)</f>
        <v>6493</v>
      </c>
      <c r="G118" s="1798">
        <f ca="1">ROUND(IF(D32="楼面单价",C35,F118*10000/B118),0)</f>
        <v>8777</v>
      </c>
      <c r="H118" s="1798">
        <f ca="1">ROUND(IF(D32="总价",C32,I118*B118/10000),0)</f>
        <v>7035</v>
      </c>
      <c r="I118" s="1798">
        <f ca="1">ROUND(IF(D32="楼面单价",C32,H118*10000/B118),0)</f>
        <v>9510</v>
      </c>
    </row>
    <row r="119" spans="1:11" ht="18.75" customHeight="1">
      <c r="A119" s="2995" t="s">
        <v>2318</v>
      </c>
      <c r="B119" s="2995"/>
      <c r="C119" s="2995"/>
      <c r="D119" s="3095" t="str">
        <f ca="1">NUMBERSTRING(INT(D118*10000),2)&amp;"元整"</f>
        <v>伍佰肆拾贰万元整</v>
      </c>
      <c r="E119" s="3097"/>
      <c r="F119" s="3095" t="str">
        <f ca="1">NUMBERSTRING(INT(F118*10000),2)&amp;"元整"</f>
        <v>陆仟肆佰玖拾叁万元整</v>
      </c>
      <c r="G119" s="3097"/>
      <c r="H119" s="3095" t="str">
        <f ca="1">NUMBERSTRING(INT(H118*10000),2)&amp;"元整"</f>
        <v>柒仟零叁拾伍万元整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8" t="str">
        <f>IF(D120=0,"故，本次评估不存在"&amp;A120,"故，本次评估"&amp;A120&amp;"为人民币"&amp;D120&amp;"万元整。")</f>
        <v>故，本次评估不存在估价师知悉的法定优先受偿款</v>
      </c>
    </row>
    <row r="121" spans="1:11" ht="18.75" customHeight="1">
      <c r="A121" s="3099" t="s">
        <v>2318</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7035</v>
      </c>
      <c r="E122" s="3124"/>
      <c r="F122" s="3124"/>
      <c r="G122" s="3124"/>
      <c r="H122" s="3124"/>
      <c r="I122" s="3125"/>
    </row>
    <row r="123" spans="1:11" ht="18.75" customHeight="1">
      <c r="A123" s="2995" t="s">
        <v>2318</v>
      </c>
      <c r="B123" s="2995"/>
      <c r="C123" s="2995"/>
      <c r="D123" s="3095" t="str">
        <f ca="1">NUMBERSTRING(INT(D122*10000),2)&amp;"元整"</f>
        <v>柒仟零叁拾伍万元整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2318</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2318</v>
      </c>
      <c r="B127" s="2995"/>
      <c r="C127" s="2995"/>
      <c r="D127" s="3095" t="e">
        <f>NUMBERSTRING(INT(D126*10000),2)&amp;"元整"</f>
        <v>#VALUE!</v>
      </c>
      <c r="E127" s="3096"/>
      <c r="F127" s="3096"/>
      <c r="G127" s="3096"/>
      <c r="H127" s="3096"/>
      <c r="I127" s="3097"/>
    </row>
    <row r="128" spans="1:11" ht="21.75" customHeight="1">
      <c r="A128" s="3105" t="s">
        <v>2319</v>
      </c>
      <c r="B128" s="3105"/>
      <c r="C128" s="3105"/>
      <c r="D128" s="3105"/>
      <c r="E128" s="3105"/>
      <c r="F128" s="3105"/>
      <c r="G128" s="3105"/>
      <c r="H128" s="3105"/>
      <c r="I128" s="310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7294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9860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2354.051551</v>
      </c>
      <c r="D5" s="255" t="s">
        <v>2335</v>
      </c>
      <c r="E5" s="256" t="s">
        <v>2336</v>
      </c>
      <c r="F5" s="256" t="s">
        <v>2337</v>
      </c>
      <c r="G5" s="257"/>
    </row>
    <row r="6" spans="1:9" s="258" customFormat="1" ht="13.5" customHeight="1">
      <c r="A6" s="952" t="s">
        <v>2338</v>
      </c>
      <c r="B6" s="259" t="s">
        <v>2339</v>
      </c>
      <c r="C6" s="3277">
        <f>'[1]土地比较法-住宅、综合'!$C$47*'数据-汇总表'!D3/10000</f>
        <v>2284.051551</v>
      </c>
      <c r="D6" s="261"/>
      <c r="E6" s="262"/>
      <c r="F6" s="262"/>
      <c r="G6" s="263"/>
    </row>
    <row r="7" spans="1:9" s="258" customFormat="1" ht="13.5" customHeight="1">
      <c r="A7" s="952" t="s">
        <v>2340</v>
      </c>
      <c r="B7" s="259" t="s">
        <v>2341</v>
      </c>
      <c r="C7" s="264">
        <f>ROUND(C6*F7,0)</f>
        <v>70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7"/>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c r="H9" s="1393"/>
      <c r="I9" s="2559" t="s">
        <v>2345</v>
      </c>
    </row>
    <row r="10" spans="1:9" s="258" customFormat="1" ht="13.5" customHeight="1">
      <c r="A10" s="953" t="s">
        <v>801</v>
      </c>
      <c r="B10" s="268" t="s">
        <v>2346</v>
      </c>
      <c r="C10" s="269">
        <f ca="1">ROUND(D10*E10/10000,0)</f>
        <v>104</v>
      </c>
      <c r="D10" s="1035">
        <f ca="1">IF(B1="",'数据-汇总表'!E6,IF(INDIRECT("'数据-取费表'!c"&amp;$G$1)="住宅",INDIRECT("'数据-取费表'!s"&amp;$G$1),INDIRECT("'数据-取费表'!k"&amp;$G$1)+INDIRECT("'数据-取费表'!s"&amp;$G$1)))</f>
        <v>7397.6099999999988</v>
      </c>
      <c r="E10" s="269">
        <f>'数据-取费表'!B28</f>
        <v>140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133</v>
      </c>
      <c r="D19" s="1039">
        <f ca="1">D9+D10</f>
        <v>7397.6099999999988</v>
      </c>
      <c r="E19" s="255">
        <f>'数据-取费表'!B31</f>
        <v>180</v>
      </c>
      <c r="F19" s="275"/>
      <c r="G19" s="2557"/>
    </row>
    <row r="20" spans="1:7" s="258" customFormat="1" ht="13.5" customHeight="1">
      <c r="A20" s="299" t="s">
        <v>2359</v>
      </c>
      <c r="B20" s="254" t="s">
        <v>2360</v>
      </c>
      <c r="C20" s="276">
        <f ca="1">ROUND((C5+C19)*F20,0)</f>
        <v>50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376</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352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20</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381</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381</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3572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2839</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2589</v>
      </c>
      <c r="D34" s="261"/>
      <c r="E34" s="264"/>
      <c r="F34" s="301">
        <f ca="1">IF('数据-取费表'!B24=0,1,IF(B1="",'数据-取费表'!N16,INDIRECT("'数据-取费表'!n"&amp;$G$1)))</f>
        <v>1</v>
      </c>
      <c r="G34" s="263" t="s">
        <v>2392</v>
      </c>
    </row>
    <row r="35" spans="1:7" ht="13.5" customHeight="1">
      <c r="A35" s="954" t="s">
        <v>796</v>
      </c>
      <c r="B35" s="259" t="s">
        <v>2393</v>
      </c>
      <c r="C35" s="264">
        <f ca="1">ROUND(C34*F35,0)</f>
        <v>78</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133</v>
      </c>
      <c r="D37" s="261">
        <f ca="1">D19</f>
        <v>7397.6099999999988</v>
      </c>
      <c r="E37" s="293">
        <f>'数据-取费表'!B35</f>
        <v>180</v>
      </c>
      <c r="F37" s="303"/>
      <c r="G37" s="305" t="s">
        <v>2398</v>
      </c>
    </row>
    <row r="38" spans="1:7" ht="13.5" customHeight="1">
      <c r="A38" s="954" t="s">
        <v>799</v>
      </c>
      <c r="B38" s="259" t="s">
        <v>2399</v>
      </c>
      <c r="C38" s="264">
        <f ca="1">ROUND(C34*F38,0)</f>
        <v>39</v>
      </c>
      <c r="D38" s="264"/>
      <c r="E38" s="264"/>
      <c r="F38" s="303">
        <f>'数据-取费表'!B36</f>
        <v>1.4999999999999999E-2</v>
      </c>
      <c r="G38" s="263" t="s">
        <v>2394</v>
      </c>
    </row>
    <row r="39" spans="1:7" s="258" customFormat="1" ht="13.5" customHeight="1">
      <c r="A39" s="299" t="s">
        <v>2400</v>
      </c>
      <c r="B39" s="254" t="s">
        <v>2401</v>
      </c>
      <c r="C39" s="276">
        <f ca="1">ROUND(C33*F20,0)</f>
        <v>57</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209</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205</v>
      </c>
      <c r="D42" s="282"/>
      <c r="E42" s="282"/>
      <c r="F42" s="283"/>
      <c r="G42" s="3137" t="s">
        <v>2410</v>
      </c>
    </row>
    <row r="43" spans="1:7" ht="13.5" customHeight="1">
      <c r="A43" s="954" t="s">
        <v>792</v>
      </c>
      <c r="B43" s="259" t="s">
        <v>2411</v>
      </c>
      <c r="C43" s="282">
        <f ca="1">ROUND(IF('数据-取费表'!B22&lt;=1,C39*F22*'数据-取费表'!B21/2,C39*(POWER((1+F22),'数据-取费表'!B21/2)-1)),0)</f>
        <v>4</v>
      </c>
      <c r="D43" s="282"/>
      <c r="E43" s="282"/>
      <c r="F43" s="283"/>
      <c r="G43" s="3138"/>
    </row>
    <row r="44" spans="1:7" ht="13.5" customHeight="1">
      <c r="A44" s="954" t="s">
        <v>793</v>
      </c>
      <c r="B44" s="259" t="s">
        <v>2412</v>
      </c>
      <c r="C44" s="282">
        <f ca="1">ROUND(IF('数据-取费表'!B22&lt;=1,C40*F22*'数据-取费表'!B21/2,C40*(POWER((1+F22),'数据-取费表'!B21/2)-1)),4)</f>
        <v>1.4E-3</v>
      </c>
      <c r="D44" s="282"/>
      <c r="E44" s="282"/>
      <c r="F44" s="283"/>
      <c r="G44" s="3139"/>
    </row>
    <row r="45" spans="1:7" s="258" customFormat="1" ht="13.5" customHeight="1">
      <c r="A45" s="299" t="s">
        <v>2413</v>
      </c>
      <c r="B45" s="288" t="s">
        <v>2379</v>
      </c>
      <c r="C45" s="289">
        <f ca="1">C46</f>
        <v>434</v>
      </c>
      <c r="D45" s="279">
        <f ca="1">C47</f>
        <v>3.0000000000000001E-3</v>
      </c>
      <c r="E45" s="280" t="s">
        <v>2405</v>
      </c>
      <c r="F45" s="290"/>
      <c r="G45" s="291" t="s">
        <v>2414</v>
      </c>
    </row>
    <row r="46" spans="1:7" s="258" customFormat="1" ht="13.5" customHeight="1">
      <c r="A46" s="954" t="s">
        <v>791</v>
      </c>
      <c r="B46" s="292" t="s">
        <v>2415</v>
      </c>
      <c r="C46" s="293">
        <f ca="1">ROUND((C33+C39)*F27,0)</f>
        <v>434</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3837</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3722</v>
      </c>
      <c r="D51" s="276"/>
      <c r="E51" s="276"/>
      <c r="F51" s="308"/>
      <c r="G51" s="278" t="s">
        <v>2426</v>
      </c>
    </row>
    <row r="52" spans="1:7" s="252" customFormat="1" ht="16.5" thickBot="1">
      <c r="A52" s="309" t="s">
        <v>2427</v>
      </c>
      <c r="B52" s="310"/>
      <c r="C52" s="311">
        <f ca="1">C31+C51</f>
        <v>7294</v>
      </c>
      <c r="D52" s="310"/>
      <c r="E52" s="310"/>
      <c r="F52" s="310"/>
      <c r="G52" s="312"/>
    </row>
    <row r="55" spans="1:7" ht="15">
      <c r="B55" s="314" t="s">
        <v>2428</v>
      </c>
      <c r="C55" s="315"/>
    </row>
    <row r="56" spans="1:7">
      <c r="B56" s="317" t="s">
        <v>1509</v>
      </c>
      <c r="C56" s="319">
        <f ca="1">1-C57</f>
        <v>0.49</v>
      </c>
    </row>
    <row r="57" spans="1:7">
      <c r="B57" s="317" t="s">
        <v>1510</v>
      </c>
      <c r="C57" s="318">
        <f ca="1">ROUND(C51/C52,3)</f>
        <v>0.51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4061</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5490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1035665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1035665</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1035665</v>
      </c>
      <c r="D10" s="1035">
        <f ca="1">IF(B1="",'数据-汇总表'!E6,IF(INDIRECT("'数据-取费表'!c"&amp;$G$1)="住宅",INDIRECT("'数据-取费表'!s"&amp;$G$1),INDIRECT("'数据-取费表'!k"&amp;$G$1)+INDIRECT("'数据-取费表'!s"&amp;$G$1)))</f>
        <v>7397.6099999999988</v>
      </c>
      <c r="E10" s="269">
        <f>'数据-取费表'!B28</f>
        <v>140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1331570</v>
      </c>
      <c r="D19" s="1039">
        <f ca="1">D9+D10</f>
        <v>7397.6099999999988</v>
      </c>
      <c r="E19" s="255">
        <f>'数据-取费表'!B31</f>
        <v>180</v>
      </c>
      <c r="F19" s="275"/>
      <c r="G19" s="2557"/>
    </row>
    <row r="20" spans="1:7" s="258" customFormat="1" ht="13.5" customHeight="1">
      <c r="A20" s="299" t="s">
        <v>2440</v>
      </c>
      <c r="B20" s="254" t="s">
        <v>2441</v>
      </c>
      <c r="C20" s="276">
        <f ca="1">ROUND((C5+C19)*F20,0)</f>
        <v>47345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357020</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154703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198904</v>
      </c>
      <c r="D24" s="282"/>
      <c r="E24" s="282"/>
      <c r="F24" s="283"/>
      <c r="G24" s="284" t="s">
        <v>2452</v>
      </c>
    </row>
    <row r="25" spans="1:7" s="258" customFormat="1" ht="24">
      <c r="A25" s="954" t="s">
        <v>2342</v>
      </c>
      <c r="B25" s="259" t="s">
        <v>2453</v>
      </c>
      <c r="C25" s="1384">
        <f ca="1">ROUND(IF('数据-取费表'!B22&lt;=1,C20*F22*'数据-取费表'!B22/2,C20*(POWER((1+F22),'数据-取费表'!B22/2)-1)),0)</f>
        <v>3413</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362187</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362187</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3397796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28388329</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25891635</v>
      </c>
      <c r="D34" s="261"/>
      <c r="E34" s="264"/>
      <c r="F34" s="301"/>
      <c r="G34" s="263"/>
    </row>
    <row r="35" spans="1:7" ht="13.5" customHeight="1">
      <c r="A35" s="954" t="s">
        <v>796</v>
      </c>
      <c r="B35" s="259" t="s">
        <v>2393</v>
      </c>
      <c r="C35" s="264">
        <f ca="1">ROUND(C34*F35,0)</f>
        <v>776749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1331570</v>
      </c>
      <c r="D37" s="261">
        <f ca="1">D19</f>
        <v>7397.6099999999988</v>
      </c>
      <c r="E37" s="293">
        <f>'数据-取费表'!B35</f>
        <v>180</v>
      </c>
      <c r="F37" s="303"/>
      <c r="G37" s="305"/>
    </row>
    <row r="38" spans="1:7" ht="13.5" customHeight="1">
      <c r="A38" s="954" t="s">
        <v>799</v>
      </c>
      <c r="B38" s="259" t="s">
        <v>2399</v>
      </c>
      <c r="C38" s="264">
        <f ca="1">ROUND(C34*F38,0)</f>
        <v>388375</v>
      </c>
      <c r="D38" s="264"/>
      <c r="E38" s="264"/>
      <c r="F38" s="303">
        <f>'数据-取费表'!B36</f>
        <v>1.4999999999999999E-2</v>
      </c>
      <c r="G38" s="263" t="s">
        <v>2394</v>
      </c>
    </row>
    <row r="39" spans="1:7" s="258" customFormat="1" ht="13.5" customHeight="1">
      <c r="A39" s="299" t="s">
        <v>2400</v>
      </c>
      <c r="B39" s="254" t="s">
        <v>2401</v>
      </c>
      <c r="C39" s="276">
        <f ca="1">ROUND(C33*F20,0)</f>
        <v>567767</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2087431</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2046501</v>
      </c>
      <c r="D42" s="282"/>
      <c r="E42" s="282"/>
      <c r="F42" s="283"/>
      <c r="G42" s="3137" t="s">
        <v>2457</v>
      </c>
    </row>
    <row r="43" spans="1:7" ht="13.5" customHeight="1">
      <c r="A43" s="954" t="s">
        <v>792</v>
      </c>
      <c r="B43" s="259" t="s">
        <v>2411</v>
      </c>
      <c r="C43" s="282">
        <f ca="1">ROUND(IF('数据-取费表'!B22&lt;=1,C39*F22*'数据-取费表'!B20/2,C39*(POWER((1+F22),'数据-取费表'!B20/2)-1)),0)</f>
        <v>40930</v>
      </c>
      <c r="D43" s="282"/>
      <c r="E43" s="282"/>
      <c r="F43" s="283"/>
      <c r="G43" s="3138"/>
    </row>
    <row r="44" spans="1:7" ht="13.5" customHeight="1">
      <c r="A44" s="954" t="s">
        <v>793</v>
      </c>
      <c r="B44" s="259" t="s">
        <v>2412</v>
      </c>
      <c r="C44" s="282">
        <f ca="1">ROUND(IF('数据-取费表'!B22&lt;=1,C40*F22*'数据-取费表'!B20/2,C40*(POWER((1+F22),'数据-取费表'!B20/2)-1)),4)</f>
        <v>1.4E-3</v>
      </c>
      <c r="D44" s="282"/>
      <c r="E44" s="282"/>
      <c r="F44" s="283"/>
      <c r="G44" s="3139"/>
    </row>
    <row r="45" spans="1:7" s="258" customFormat="1" ht="13.5" customHeight="1">
      <c r="A45" s="299" t="s">
        <v>2413</v>
      </c>
      <c r="B45" s="288" t="s">
        <v>2379</v>
      </c>
      <c r="C45" s="289">
        <f ca="1">C46</f>
        <v>4343414</v>
      </c>
      <c r="D45" s="279">
        <f ca="1">C47</f>
        <v>3.0000000000000001E-3</v>
      </c>
      <c r="E45" s="280" t="s">
        <v>2405</v>
      </c>
      <c r="F45" s="290"/>
      <c r="G45" s="291" t="s">
        <v>2414</v>
      </c>
    </row>
    <row r="46" spans="1:7" s="258" customFormat="1" ht="13.5" customHeight="1">
      <c r="A46" s="954" t="s">
        <v>791</v>
      </c>
      <c r="B46" s="292" t="s">
        <v>2415</v>
      </c>
      <c r="C46" s="293">
        <f ca="1">ROUND((C33+C39)*F27,0)</f>
        <v>4343414</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38368146</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37217102</v>
      </c>
      <c r="D51" s="276"/>
      <c r="E51" s="276"/>
      <c r="F51" s="308"/>
      <c r="G51" s="278" t="s">
        <v>2426</v>
      </c>
    </row>
    <row r="52" spans="1:7" s="252" customFormat="1" ht="16.5" thickBot="1">
      <c r="A52" s="309" t="s">
        <v>2427</v>
      </c>
      <c r="B52" s="310"/>
      <c r="C52" s="311">
        <f ca="1">C31+C51</f>
        <v>40614898</v>
      </c>
      <c r="D52" s="310"/>
      <c r="E52" s="310"/>
      <c r="F52" s="310"/>
      <c r="G52" s="312"/>
    </row>
    <row r="55" spans="1:7" ht="15">
      <c r="B55" s="314" t="s">
        <v>2428</v>
      </c>
      <c r="C55" s="315"/>
    </row>
    <row r="56" spans="1:7">
      <c r="B56" s="317" t="s">
        <v>1509</v>
      </c>
      <c r="C56" s="319">
        <f ca="1">1-C57</f>
        <v>8.3999999999999964E-2</v>
      </c>
    </row>
    <row r="57" spans="1:7">
      <c r="B57" s="317" t="s">
        <v>1510</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-119</v>
      </c>
      <c r="C2" s="320" t="s">
        <v>2461</v>
      </c>
      <c r="D2" s="320"/>
      <c r="E2" s="320"/>
      <c r="F2" s="320"/>
      <c r="G2" s="320"/>
      <c r="H2" s="320"/>
      <c r="I2" s="320"/>
      <c r="J2" s="320"/>
      <c r="K2" s="320"/>
    </row>
    <row r="3" spans="1:33" ht="18" customHeight="1" thickBot="1">
      <c r="A3" s="247" t="s">
        <v>2330</v>
      </c>
      <c r="B3" s="248">
        <f ca="1">ROUND(B2*10000/IF(C1="",'数据-汇总表'!E3,INDIRECT("'数据-取费表'!K"&amp;$K$1)),0)</f>
        <v>-161</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7397.6099999999988</v>
      </c>
      <c r="E14" s="24">
        <f>'数据-取费表'!B35</f>
        <v>180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7397.6099999999988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104</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104</v>
      </c>
      <c r="D20" s="1036">
        <f ca="1">IF(C1="",'数据-汇总表'!E6,IF(INDIRECT("'数据-取费表'!c"&amp;$K$1)="住宅",INDIRECT("'数据-取费表'!s"&amp;$K$1),INDIRECT("'数据-取费表'!k"&amp;$K$1)+INDIRECT("'数据-取费表'!s"&amp;$K$1)))</f>
        <v>7397.6099999999988</v>
      </c>
      <c r="E20" s="24">
        <f>'数据-取费表'!B28</f>
        <v>140</v>
      </c>
      <c r="F20" s="979"/>
      <c r="G20" s="15"/>
      <c r="H20" s="984"/>
      <c r="I20" s="984"/>
      <c r="J20" s="984"/>
      <c r="K20" s="985"/>
    </row>
    <row r="21" spans="1:33" s="978" customFormat="1" ht="13.5" customHeight="1">
      <c r="A21" s="964" t="s">
        <v>802</v>
      </c>
      <c r="B21" s="988" t="s">
        <v>2497</v>
      </c>
      <c r="C21" s="989">
        <f ca="1">C16+C17+C18</f>
        <v>104</v>
      </c>
      <c r="D21" s="990"/>
      <c r="E21" s="325"/>
      <c r="F21" s="325"/>
      <c r="G21" s="140" t="s">
        <v>2498</v>
      </c>
      <c r="H21" s="982"/>
      <c r="I21" s="982"/>
      <c r="J21" s="982"/>
      <c r="K21" s="983"/>
    </row>
    <row r="22" spans="1:33" s="978" customFormat="1" ht="13.5" customHeight="1">
      <c r="A22" s="964" t="s">
        <v>2470</v>
      </c>
      <c r="B22" s="988" t="s">
        <v>2499</v>
      </c>
      <c r="C22" s="989">
        <f ca="1">ROUND(C21*F22,0)</f>
        <v>2</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16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16</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-119</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6776</v>
      </c>
      <c r="C2" s="1848" t="s">
        <v>1512</v>
      </c>
      <c r="D2" s="1848"/>
      <c r="E2" s="1849"/>
      <c r="F2" s="1850"/>
      <c r="G2" s="1851"/>
      <c r="H2" s="1843"/>
      <c r="I2" s="1843"/>
      <c r="J2" s="1843"/>
      <c r="K2" s="1844"/>
      <c r="L2" s="1843"/>
      <c r="M2" s="1843"/>
    </row>
    <row r="3" spans="1:37" ht="18" customHeight="1" thickBot="1">
      <c r="A3" s="1852" t="s">
        <v>1513</v>
      </c>
      <c r="B3" s="1853">
        <f ca="1">IF(ISERROR(B2*10000/F43),0,ROUND(B2*10000/F43,0))</f>
        <v>9160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487</v>
      </c>
      <c r="D5" s="1825" t="s">
        <v>1398</v>
      </c>
      <c r="E5" s="1296"/>
      <c r="F5" s="1297"/>
      <c r="G5" s="1854"/>
      <c r="H5" s="344">
        <v>1</v>
      </c>
      <c r="I5" s="345" t="s">
        <v>1397</v>
      </c>
      <c r="J5" s="1295">
        <f ca="1">J6+J10+J12</f>
        <v>0</v>
      </c>
      <c r="K5" s="1825" t="s">
        <v>1398</v>
      </c>
      <c r="L5" s="1296"/>
      <c r="M5" s="1297"/>
    </row>
    <row r="6" spans="1:37" ht="18" customHeight="1">
      <c r="A6" s="1294" t="s">
        <v>1032</v>
      </c>
      <c r="B6" s="3142" t="s">
        <v>1399</v>
      </c>
      <c r="C6" s="1299">
        <f ca="1">ROUND(F6*F8*F7*(1-F9)/10000,0)</f>
        <v>486</v>
      </c>
      <c r="D6" s="164" t="s">
        <v>3035</v>
      </c>
      <c r="E6" s="347" t="s">
        <v>1401</v>
      </c>
      <c r="F6" s="348">
        <f ca="1">INDIRECT("'数据-取费表'!u"&amp;$G$1)</f>
        <v>2</v>
      </c>
      <c r="G6" s="1854"/>
      <c r="H6" s="1294" t="s">
        <v>1032</v>
      </c>
      <c r="I6" s="3142" t="s">
        <v>1399</v>
      </c>
      <c r="J6" s="346">
        <f ca="1">ROUND(M6*M8*M7*(1-M9)/10000,0)</f>
        <v>0</v>
      </c>
      <c r="K6" s="164" t="s">
        <v>3034</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7397.6099999999988</v>
      </c>
      <c r="G7" s="1854"/>
      <c r="H7" s="349"/>
      <c r="I7" s="3143"/>
      <c r="J7" s="351"/>
      <c r="K7" s="352"/>
      <c r="L7" s="347" t="s">
        <v>1402</v>
      </c>
      <c r="M7" s="348">
        <f ca="1">F7</f>
        <v>7397.6099999999988</v>
      </c>
    </row>
    <row r="8" spans="1:37" ht="18" customHeight="1">
      <c r="A8" s="349"/>
      <c r="B8" s="3143"/>
      <c r="C8" s="351"/>
      <c r="D8" s="352"/>
      <c r="E8" s="347" t="s">
        <v>1403</v>
      </c>
      <c r="F8" s="348">
        <f ca="1">INDIRECT("'数据-取费表'!ai"&amp;$G$1)</f>
        <v>365</v>
      </c>
      <c r="G8" s="1854"/>
      <c r="H8" s="349"/>
      <c r="I8" s="3143"/>
      <c r="J8" s="351"/>
      <c r="K8" s="352"/>
      <c r="L8" s="347" t="s">
        <v>1403</v>
      </c>
      <c r="M8" s="348">
        <f ca="1">INDIRECT("'数据-取费表'!ai"&amp;$G$1)</f>
        <v>365</v>
      </c>
    </row>
    <row r="9" spans="1:37" ht="18" customHeight="1">
      <c r="A9" s="349"/>
      <c r="B9" s="3144"/>
      <c r="C9" s="351"/>
      <c r="D9" s="352"/>
      <c r="E9" s="347" t="s">
        <v>1404</v>
      </c>
      <c r="F9" s="357">
        <f ca="1">INDIRECT("'数据-取费表'!w"&amp;$G$1)</f>
        <v>0.1</v>
      </c>
      <c r="G9" s="1854"/>
      <c r="H9" s="349"/>
      <c r="I9" s="314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3044</v>
      </c>
      <c r="E10" s="358" t="s">
        <v>1406</v>
      </c>
      <c r="F10" s="1369" t="s">
        <v>3193</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3722</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2589</v>
      </c>
      <c r="D14" s="1803" t="s">
        <v>1414</v>
      </c>
      <c r="E14" s="1797"/>
      <c r="F14" s="364"/>
      <c r="G14" s="1854"/>
      <c r="H14" s="1204" t="s">
        <v>1032</v>
      </c>
      <c r="I14" s="347" t="s">
        <v>1415</v>
      </c>
      <c r="J14" s="24">
        <f ca="1">C29</f>
        <v>3837</v>
      </c>
      <c r="K14" s="15"/>
      <c r="L14" s="982"/>
      <c r="M14" s="983"/>
    </row>
    <row r="15" spans="1:37" s="1861" customFormat="1" ht="18" customHeight="1" thickBot="1">
      <c r="A15" s="1204" t="s">
        <v>1033</v>
      </c>
      <c r="B15" s="347" t="s">
        <v>1416</v>
      </c>
      <c r="C15" s="24">
        <f ca="1">ROUND(C14*F15,0)</f>
        <v>78</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97</v>
      </c>
      <c r="K16" s="1340" t="s">
        <v>1421</v>
      </c>
      <c r="L16" s="1341"/>
      <c r="M16" s="1297"/>
    </row>
    <row r="17" spans="1:37" s="1861" customFormat="1" ht="18" customHeight="1">
      <c r="A17" s="1204" t="s">
        <v>1386</v>
      </c>
      <c r="B17" s="347" t="s">
        <v>1422</v>
      </c>
      <c r="C17" s="24">
        <f ca="1">ROUND(F17*(F43+INDIRECT("'数据-取费表'!S"&amp;$G$1))/10000,0)</f>
        <v>133</v>
      </c>
      <c r="D17" s="347" t="s">
        <v>1423</v>
      </c>
      <c r="E17" s="347" t="s">
        <v>1424</v>
      </c>
      <c r="F17" s="26">
        <f>'数据-取费表'!B35</f>
        <v>180</v>
      </c>
      <c r="G17" s="1857"/>
      <c r="H17" s="1204" t="s">
        <v>1032</v>
      </c>
      <c r="I17" s="347" t="s">
        <v>1425</v>
      </c>
      <c r="J17" s="24">
        <f ca="1">ROUND(IF(项目基本情况!B11="自然人",J5*M17,J18+J19+J20),1)</f>
        <v>39.299999999999997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2839</v>
      </c>
      <c r="D19" s="140" t="s">
        <v>1432</v>
      </c>
      <c r="E19" s="1821"/>
      <c r="F19" s="26"/>
      <c r="G19" s="1854"/>
      <c r="H19" s="1204" t="s">
        <v>1033</v>
      </c>
      <c r="I19" s="347" t="s">
        <v>1433</v>
      </c>
      <c r="J19" s="24">
        <f ca="1">IF(K19="按租金收入计税",ROUND(J5*M19,2),ROUND(C29*M19*0.7,2))</f>
        <v>32.229999999999997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57</v>
      </c>
      <c r="D20" s="369" t="s">
        <v>1436</v>
      </c>
      <c r="E20" s="347" t="s">
        <v>1418</v>
      </c>
      <c r="F20" s="367">
        <f>'数据-取费表'!B37</f>
        <v>0.02</v>
      </c>
      <c r="G20" s="1857"/>
      <c r="H20" s="1204" t="s">
        <v>1385</v>
      </c>
      <c r="I20" s="164" t="s">
        <v>1437</v>
      </c>
      <c r="J20" s="25">
        <f ca="1">ROUND(M20*M21/10000,2)</f>
        <v>7.08</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14160.27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57.6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209</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-97</v>
      </c>
      <c r="K25" s="1348" t="s">
        <v>1460</v>
      </c>
      <c r="L25" s="1349"/>
      <c r="M25" s="1350"/>
    </row>
    <row r="26" spans="1:37">
      <c r="A26" s="1204" t="s">
        <v>1031</v>
      </c>
      <c r="B26" s="347" t="s">
        <v>1461</v>
      </c>
      <c r="C26" s="24">
        <f ca="1">ROUND((C19+C20)*F26,0)</f>
        <v>434</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3837</v>
      </c>
      <c r="D29" s="1345"/>
      <c r="E29" s="1343"/>
      <c r="F29" s="1346"/>
      <c r="G29" s="1857"/>
      <c r="H29" s="380" t="s">
        <v>1030</v>
      </c>
      <c r="I29" s="381" t="s">
        <v>1475</v>
      </c>
      <c r="J29" s="382">
        <f ca="1">ROUND(J26/(1+F40)^F41,0)</f>
        <v>0</v>
      </c>
      <c r="K29" s="383" t="s">
        <v>1476</v>
      </c>
      <c r="L29" s="384"/>
      <c r="M29" s="385">
        <f ca="1">INDIRECT("'数据-取费表'!k"&amp;$G$1)</f>
        <v>7397.6099999999988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91.5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25.97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58.44</v>
      </c>
      <c r="D33" s="1831" t="s">
        <v>3192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7.08</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14160.27</v>
      </c>
      <c r="G35" s="1854"/>
      <c r="H35" s="745"/>
      <c r="I35" s="1863"/>
      <c r="J35" s="1864"/>
      <c r="K35" s="1865"/>
      <c r="L35" s="1862"/>
      <c r="M35" s="1862"/>
    </row>
    <row r="36" spans="1:18" ht="18" customHeight="1">
      <c r="A36" s="1355" t="s">
        <v>1036</v>
      </c>
      <c r="B36" s="347" t="s">
        <v>1445</v>
      </c>
      <c r="C36" s="24">
        <f ca="1">ROUND(C29*F36,1)</f>
        <v>57.6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9.6999999999999993</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323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6776</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9160</v>
      </c>
      <c r="D43" s="383" t="s">
        <v>1484</v>
      </c>
      <c r="E43" s="384" t="s">
        <v>1485</v>
      </c>
      <c r="F43" s="385">
        <f ca="1">INDIRECT("'数据-取费表'!k"&amp;$G$1)</f>
        <v>7397.6099999999988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-12789</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3190</v>
      </c>
      <c r="K47" s="1885" t="s">
        <v>1523</v>
      </c>
      <c r="L47" s="1886">
        <f ca="1">INDIRECT("'数据-取费表'!d"&amp;$G$1)</f>
        <v>40</v>
      </c>
      <c r="M47" s="1841" t="str">
        <f>IF(ISNUMBER(FIND("住宅",C1)),"住宅","非住宅")</f>
        <v>非住宅</v>
      </c>
      <c r="O47" s="1887" t="s">
        <v>1037</v>
      </c>
      <c r="P47" s="1888" t="s">
        <v>1524</v>
      </c>
      <c r="Q47" s="1889">
        <f ca="1">C40+J29</f>
        <v>6776</v>
      </c>
      <c r="R47" s="1889" t="s">
        <v>1525</v>
      </c>
    </row>
    <row r="48" spans="1:18" s="1845" customFormat="1" ht="28.5" thickBot="1">
      <c r="A48" s="1363" t="s">
        <v>1132</v>
      </c>
      <c r="B48" s="345" t="s">
        <v>1397</v>
      </c>
      <c r="C48" s="1820">
        <f ca="1">C49+C53+C55</f>
        <v>0</v>
      </c>
      <c r="D48" s="1365"/>
      <c r="E48" s="1366"/>
      <c r="F48" s="1184"/>
      <c r="G48" s="792"/>
      <c r="H48" s="793"/>
      <c r="I48" s="1890" t="s">
        <v>1526</v>
      </c>
      <c r="J48" s="1891" t="s">
        <v>3191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v>2017</v>
      </c>
      <c r="K49" s="1892" t="s">
        <v>1531</v>
      </c>
      <c r="L49" s="1896"/>
      <c r="O49" s="1897" t="s">
        <v>1039</v>
      </c>
      <c r="P49" s="1888" t="s">
        <v>1532</v>
      </c>
      <c r="Q49" s="1889">
        <f ca="1">C29</f>
        <v>3837</v>
      </c>
      <c r="R49" s="1889" t="s">
        <v>1525</v>
      </c>
    </row>
    <row r="50" spans="1:18" s="1845" customFormat="1" ht="13.5" thickBot="1">
      <c r="A50" s="1198"/>
      <c r="B50" s="1201"/>
      <c r="C50" s="1371"/>
      <c r="D50" s="1175"/>
      <c r="E50" s="1280" t="s">
        <v>1402</v>
      </c>
      <c r="F50" s="1281">
        <f ca="1">F7</f>
        <v>7397.6099999999988</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78</v>
      </c>
      <c r="K51" s="1903" t="s">
        <v>1537</v>
      </c>
      <c r="L51" s="1904">
        <f ca="1">ROUND(-PV(INDIRECT("'数据-取费表'!h"&amp;$G$1),L48,(C39-C13*C76),0),0)</f>
        <v>411</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140" t="s">
        <v>1544</v>
      </c>
      <c r="L53" s="3141"/>
      <c r="O53" s="1887" t="s">
        <v>1043</v>
      </c>
      <c r="P53" s="1888" t="s">
        <v>1545</v>
      </c>
      <c r="Q53" s="1889">
        <f ca="1">Q47+Q48</f>
        <v>6776</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3722</v>
      </c>
      <c r="D56" s="1917"/>
      <c r="E56" s="1918"/>
      <c r="F56" s="1910"/>
      <c r="I56" s="1919" t="s">
        <v>1550</v>
      </c>
      <c r="J56" s="1920" t="s">
        <v>3185</v>
      </c>
      <c r="K56" s="1890" t="s">
        <v>1551</v>
      </c>
      <c r="L56" s="1893" t="str">
        <f ca="1">IF(L48&lt;J51,"——",L48-J53)</f>
        <v>——</v>
      </c>
      <c r="O56" s="1887" t="s">
        <v>1037</v>
      </c>
      <c r="P56" s="1888" t="s">
        <v>1524</v>
      </c>
      <c r="Q56" s="1889">
        <f ca="1">C40+J29</f>
        <v>6776</v>
      </c>
      <c r="R56" s="1889" t="s">
        <v>1525</v>
      </c>
    </row>
    <row r="57" spans="1:18" s="1845" customFormat="1" ht="24.75" thickBot="1">
      <c r="A57" s="1921"/>
      <c r="B57" s="1172" t="s">
        <v>1474</v>
      </c>
      <c r="C57" s="282">
        <f ca="1">C29</f>
        <v>3837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393</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329.4</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322.31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7.08</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6776</v>
      </c>
      <c r="R62" s="1889" t="s">
        <v>1044</v>
      </c>
    </row>
    <row r="63" spans="1:18" s="1845" customFormat="1" ht="13.5" thickBot="1">
      <c r="A63" s="372"/>
      <c r="B63" s="1178"/>
      <c r="C63" s="29"/>
      <c r="D63" s="1188"/>
      <c r="E63" s="1172" t="s">
        <v>1495</v>
      </c>
      <c r="F63" s="348">
        <f t="shared" ca="1" si="0"/>
        <v>14160.27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57.6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5.6</v>
      </c>
      <c r="D65" s="1186" t="s">
        <v>1450</v>
      </c>
      <c r="E65" s="1172" t="s">
        <v>1451</v>
      </c>
      <c r="F65" s="376">
        <f t="shared" ca="1" si="0"/>
        <v>1.5E-3</v>
      </c>
      <c r="I65" s="1932" t="s">
        <v>1575</v>
      </c>
      <c r="J65" s="1933">
        <v>40</v>
      </c>
      <c r="K65" s="1933">
        <v>30</v>
      </c>
      <c r="L65" s="1933">
        <v>50</v>
      </c>
      <c r="M65" s="1935">
        <v>0.02</v>
      </c>
      <c r="O65" s="1887" t="s">
        <v>1037</v>
      </c>
      <c r="P65" s="1888" t="s">
        <v>1576</v>
      </c>
      <c r="Q65" s="1889">
        <f ca="1">C40+J29</f>
        <v>6776</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-393</v>
      </c>
      <c r="D67" s="1185" t="s">
        <v>1460</v>
      </c>
      <c r="E67" s="1190"/>
      <c r="F67" s="1191"/>
      <c r="O67" s="1897" t="s">
        <v>1039</v>
      </c>
      <c r="P67" s="1888" t="s">
        <v>1558</v>
      </c>
      <c r="Q67" s="1936">
        <f ca="1">L51</f>
        <v>411</v>
      </c>
      <c r="R67" s="1889" t="s">
        <v>1578</v>
      </c>
    </row>
    <row r="68" spans="1:18" s="1845" customFormat="1" ht="16.5" thickBot="1">
      <c r="A68" s="1169" t="s">
        <v>1029</v>
      </c>
      <c r="B68" s="1170" t="s">
        <v>1481</v>
      </c>
      <c r="C68" s="346">
        <f ca="1">ROUND(C67*(1-((1+F70)/(1+F68))^F69)/(F68-F70),0)</f>
        <v>-6013</v>
      </c>
      <c r="D68" s="1187" t="s">
        <v>1465</v>
      </c>
      <c r="E68" s="1172" t="s">
        <v>1466</v>
      </c>
      <c r="F68" s="357">
        <f ca="1">F40</f>
        <v>5.5E-2</v>
      </c>
      <c r="O68" s="1897" t="s">
        <v>1040</v>
      </c>
      <c r="P68" s="1937" t="s">
        <v>1579</v>
      </c>
      <c r="Q68" s="1889">
        <f ca="1">ROUND(Q69-Q70*Q71,0)</f>
        <v>25</v>
      </c>
      <c r="R68" s="1889" t="s">
        <v>1048</v>
      </c>
    </row>
    <row r="69" spans="1:18" s="1845" customFormat="1" ht="13.5" thickBot="1">
      <c r="A69" s="1173"/>
      <c r="B69" s="1174"/>
      <c r="C69" s="351"/>
      <c r="D69" s="1192" t="s">
        <v>1469</v>
      </c>
      <c r="E69" s="1172" t="s">
        <v>1470</v>
      </c>
      <c r="F69" s="379">
        <f ca="1">F41</f>
        <v>34.4</v>
      </c>
      <c r="O69" s="1897" t="s">
        <v>1045</v>
      </c>
      <c r="P69" s="1937" t="s">
        <v>1580</v>
      </c>
      <c r="Q69" s="1889">
        <f ca="1">C39</f>
        <v>323</v>
      </c>
      <c r="R69" s="1889" t="s">
        <v>1525</v>
      </c>
    </row>
    <row r="70" spans="1:18" s="1845" customFormat="1" ht="13.5" thickBot="1">
      <c r="A70" s="1176"/>
      <c r="B70" s="1177"/>
      <c r="C70" s="355"/>
      <c r="D70" s="1188"/>
      <c r="E70" s="1172" t="s">
        <v>1473</v>
      </c>
      <c r="F70" s="1278"/>
      <c r="O70" s="1897" t="s">
        <v>1046</v>
      </c>
      <c r="P70" s="1937" t="s">
        <v>1581</v>
      </c>
      <c r="Q70" s="1889">
        <f ca="1">C13</f>
        <v>3722</v>
      </c>
      <c r="R70" s="1889" t="s">
        <v>1525</v>
      </c>
    </row>
    <row r="71" spans="1:18" s="1845" customFormat="1" ht="13.5" thickBot="1">
      <c r="A71" s="1193" t="s">
        <v>1030</v>
      </c>
      <c r="B71" s="1194" t="s">
        <v>1483</v>
      </c>
      <c r="C71" s="382">
        <f ca="1">ROUND(C68*10000/F71,0)</f>
        <v>-8128</v>
      </c>
      <c r="D71" s="1195" t="s">
        <v>1484</v>
      </c>
      <c r="E71" s="1196" t="s">
        <v>1485</v>
      </c>
      <c r="F71" s="385">
        <f ca="1">F43</f>
        <v>7397.6099999999988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298</v>
      </c>
      <c r="D75" s="1845"/>
      <c r="E75" s="1845"/>
      <c r="F75" s="1845"/>
      <c r="K75" s="1871"/>
      <c r="L75" s="1845"/>
      <c r="O75" s="1887" t="s">
        <v>1043</v>
      </c>
      <c r="P75" s="1888" t="s">
        <v>1545</v>
      </c>
      <c r="Q75" s="1889">
        <f ca="1">Q65+Q66</f>
        <v>6776</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7.6999999999999957E-2</v>
      </c>
    </row>
    <row r="80" spans="1:18">
      <c r="B80" s="386" t="s">
        <v>1507</v>
      </c>
      <c r="C80" s="318">
        <f ca="1">ROUND(C75/C39,3)</f>
        <v>0.92300000000000004</v>
      </c>
    </row>
    <row r="81" spans="2:3">
      <c r="B81" s="314" t="s">
        <v>1508</v>
      </c>
      <c r="C81" s="282"/>
    </row>
    <row r="82" spans="2:3">
      <c r="B82" s="317" t="s">
        <v>1509</v>
      </c>
      <c r="C82" s="319">
        <f ca="1">1-C83</f>
        <v>0.45099999999999996</v>
      </c>
    </row>
    <row r="83" spans="2:3">
      <c r="B83" s="317" t="s">
        <v>1510</v>
      </c>
      <c r="C83" s="318">
        <f ca="1">ROUND(C13/C40,3)</f>
        <v>0.54900000000000004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2" t="s">
        <v>1399</v>
      </c>
      <c r="C6" s="1299">
        <f ca="1">ROUND(F6*F8*F7*(1-F9),0)</f>
        <v>0</v>
      </c>
      <c r="D6" s="164" t="s">
        <v>3032</v>
      </c>
      <c r="E6" s="347" t="s">
        <v>1401</v>
      </c>
      <c r="F6" s="348">
        <f ca="1">INDIRECT("'数据-取费表'!u"&amp;$G$1)</f>
        <v>0</v>
      </c>
      <c r="G6" s="1854"/>
      <c r="H6" s="1294" t="s">
        <v>1032</v>
      </c>
      <c r="I6" s="3142" t="s">
        <v>1399</v>
      </c>
      <c r="J6" s="346">
        <f ca="1">ROUND(M6*M8*M7*(1-M9),0)</f>
        <v>0</v>
      </c>
      <c r="K6" s="1837" t="s">
        <v>3033</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0</v>
      </c>
      <c r="G7" s="1854"/>
      <c r="H7" s="349"/>
      <c r="I7" s="3143"/>
      <c r="J7" s="351"/>
      <c r="K7" s="352"/>
      <c r="L7" s="347" t="s">
        <v>1402</v>
      </c>
      <c r="M7" s="348">
        <f ca="1">F7</f>
        <v>0</v>
      </c>
    </row>
    <row r="8" spans="1:37" ht="18" customHeight="1">
      <c r="A8" s="349"/>
      <c r="B8" s="3143"/>
      <c r="C8" s="351"/>
      <c r="D8" s="352"/>
      <c r="E8" s="347" t="s">
        <v>1403</v>
      </c>
      <c r="F8" s="348">
        <f ca="1">INDIRECT("'数据-取费表'!ai"&amp;$G$1)</f>
        <v>0</v>
      </c>
      <c r="G8" s="1854"/>
      <c r="H8" s="349"/>
      <c r="I8" s="3143"/>
      <c r="J8" s="351"/>
      <c r="K8" s="352"/>
      <c r="L8" s="347" t="s">
        <v>1403</v>
      </c>
      <c r="M8" s="348">
        <f ca="1">INDIRECT("'数据-取费表'!ai"&amp;$G$1)</f>
        <v>0</v>
      </c>
    </row>
    <row r="9" spans="1:37" ht="18" customHeight="1">
      <c r="A9" s="349"/>
      <c r="B9" s="3144"/>
      <c r="C9" s="351"/>
      <c r="D9" s="352"/>
      <c r="E9" s="347" t="s">
        <v>1404</v>
      </c>
      <c r="F9" s="357">
        <f ca="1">INDIRECT("'数据-取费表'!w"&amp;$G$1)</f>
        <v>0</v>
      </c>
      <c r="G9" s="1854"/>
      <c r="H9" s="349"/>
      <c r="I9" s="314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0" t="s">
        <v>1544</v>
      </c>
      <c r="L53" s="314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6776</v>
      </c>
      <c r="C2" s="2573" t="s">
        <v>2520</v>
      </c>
      <c r="D2" s="2574" t="s">
        <v>2521</v>
      </c>
      <c r="E2" s="2575">
        <f>SUM(E6:E13)</f>
        <v>7397.6099999999988</v>
      </c>
    </row>
    <row r="3" spans="1:6" ht="15.75">
      <c r="A3" s="2571" t="s">
        <v>1391</v>
      </c>
      <c r="B3" s="2572">
        <f ca="1">ROUND(B2*10000/E2,0)</f>
        <v>9160</v>
      </c>
      <c r="C3" s="2573" t="s">
        <v>2528</v>
      </c>
      <c r="D3" s="2576"/>
      <c r="E3" s="2577"/>
    </row>
    <row r="4" spans="1:6" ht="15.75">
      <c r="A4" s="2578"/>
      <c r="B4" s="2576"/>
      <c r="C4" s="2576"/>
      <c r="D4" s="2576"/>
      <c r="E4" s="2577"/>
    </row>
    <row r="5" spans="1:6" ht="15">
      <c r="A5" s="2579" t="s">
        <v>2522</v>
      </c>
      <c r="B5" s="3145" t="s">
        <v>2523</v>
      </c>
      <c r="C5" s="3145"/>
      <c r="D5" s="2580"/>
      <c r="E5" s="2581" t="s">
        <v>2524</v>
      </c>
      <c r="F5" s="2582" t="s">
        <v>2525</v>
      </c>
    </row>
    <row r="6" spans="1:6">
      <c r="A6" s="2583" t="str">
        <f>'数据-取费表'!AN6</f>
        <v>收益法</v>
      </c>
      <c r="B6" s="2582">
        <f ca="1">IF(F6="是",'数据-取费表'!AO6,0)</f>
        <v>6776</v>
      </c>
      <c r="C6" s="2573" t="s">
        <v>2520</v>
      </c>
      <c r="D6" s="2576"/>
      <c r="E6" s="2584">
        <f>IF(OR(A6=0,F6="否"),0,'数据-取费表'!K6+'数据-取费表'!S6)</f>
        <v>7397.6099999999988</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2" t="s">
        <v>1073</v>
      </c>
      <c r="B1" s="3163"/>
      <c r="C1" s="3164"/>
      <c r="D1" s="3165">
        <f>SUM(I10,I15,I20,I21,I23)</f>
        <v>0</v>
      </c>
      <c r="E1" s="3165"/>
      <c r="F1" s="3165"/>
      <c r="G1" s="3165"/>
      <c r="H1" s="3165"/>
      <c r="I1" s="3166"/>
    </row>
    <row r="2" spans="1:9">
      <c r="A2" s="3152" t="s">
        <v>1074</v>
      </c>
      <c r="B2" s="3153" t="s">
        <v>1075</v>
      </c>
      <c r="C2" s="3153"/>
      <c r="D2" s="1304" t="s">
        <v>1076</v>
      </c>
      <c r="E2" s="1304" t="s">
        <v>1077</v>
      </c>
      <c r="F2" s="1304" t="s">
        <v>1078</v>
      </c>
      <c r="G2" s="1304" t="s">
        <v>1079</v>
      </c>
      <c r="H2" s="1304" t="s">
        <v>1080</v>
      </c>
      <c r="I2" s="1305" t="s">
        <v>1081</v>
      </c>
    </row>
    <row r="3" spans="1:9">
      <c r="A3" s="3152"/>
      <c r="B3" s="3153" t="s">
        <v>1082</v>
      </c>
      <c r="C3" s="3153"/>
      <c r="D3" s="1306"/>
      <c r="E3" s="1304"/>
      <c r="F3" s="1307"/>
      <c r="G3" s="1307"/>
      <c r="H3" s="1308"/>
      <c r="I3" s="1309">
        <f>ROUND(D3*E3*F3*G3*H3/10000,0)</f>
        <v>0</v>
      </c>
    </row>
    <row r="4" spans="1:9">
      <c r="A4" s="3152"/>
      <c r="B4" s="3153" t="s">
        <v>1083</v>
      </c>
      <c r="C4" s="3153"/>
      <c r="D4" s="1306"/>
      <c r="E4" s="1304"/>
      <c r="F4" s="1307"/>
      <c r="G4" s="1307"/>
      <c r="H4" s="1308"/>
      <c r="I4" s="1309">
        <f t="shared" ref="I4:I9" si="0">ROUND(D4*E4*F4*G4*H4/10000,0)</f>
        <v>0</v>
      </c>
    </row>
    <row r="5" spans="1:9">
      <c r="A5" s="3152"/>
      <c r="B5" s="3153" t="s">
        <v>1084</v>
      </c>
      <c r="C5" s="3153"/>
      <c r="D5" s="1306"/>
      <c r="E5" s="1304"/>
      <c r="F5" s="1307"/>
      <c r="G5" s="1307"/>
      <c r="H5" s="1308"/>
      <c r="I5" s="1309">
        <f t="shared" si="0"/>
        <v>0</v>
      </c>
    </row>
    <row r="6" spans="1:9">
      <c r="A6" s="3152"/>
      <c r="B6" s="3153" t="s">
        <v>1085</v>
      </c>
      <c r="C6" s="3153"/>
      <c r="D6" s="1306"/>
      <c r="E6" s="1304"/>
      <c r="F6" s="1307"/>
      <c r="G6" s="1307"/>
      <c r="H6" s="1308"/>
      <c r="I6" s="1309">
        <f t="shared" si="0"/>
        <v>0</v>
      </c>
    </row>
    <row r="7" spans="1:9">
      <c r="A7" s="3152"/>
      <c r="B7" s="3153" t="s">
        <v>1086</v>
      </c>
      <c r="C7" s="3153"/>
      <c r="D7" s="1306"/>
      <c r="E7" s="1304"/>
      <c r="F7" s="1307"/>
      <c r="G7" s="1307"/>
      <c r="H7" s="1308"/>
      <c r="I7" s="1309">
        <f t="shared" si="0"/>
        <v>0</v>
      </c>
    </row>
    <row r="8" spans="1:9">
      <c r="A8" s="3152"/>
      <c r="B8" s="3153" t="s">
        <v>1087</v>
      </c>
      <c r="C8" s="3153"/>
      <c r="D8" s="1306"/>
      <c r="E8" s="1304"/>
      <c r="F8" s="1307"/>
      <c r="G8" s="1307"/>
      <c r="H8" s="1308"/>
      <c r="I8" s="1309">
        <f t="shared" si="0"/>
        <v>0</v>
      </c>
    </row>
    <row r="9" spans="1:9">
      <c r="A9" s="3152"/>
      <c r="B9" s="3153" t="s">
        <v>1088</v>
      </c>
      <c r="C9" s="3153"/>
      <c r="D9" s="1306"/>
      <c r="E9" s="1304"/>
      <c r="F9" s="1307"/>
      <c r="G9" s="1307"/>
      <c r="H9" s="1308"/>
      <c r="I9" s="1309">
        <f t="shared" si="0"/>
        <v>0</v>
      </c>
    </row>
    <row r="10" spans="1:9">
      <c r="A10" s="3152"/>
      <c r="B10" s="3154" t="s">
        <v>1089</v>
      </c>
      <c r="C10" s="3154"/>
      <c r="D10" s="1310"/>
      <c r="E10" s="1310" t="e">
        <f>ROUND(D1*10000/D10/H9,0)</f>
        <v>#DIV/0!</v>
      </c>
      <c r="F10" s="1311"/>
      <c r="G10" s="1311"/>
      <c r="H10" s="1312"/>
      <c r="I10" s="1313">
        <f>SUM(I3:I9)</f>
        <v>0</v>
      </c>
    </row>
    <row r="11" spans="1:9" ht="14.25">
      <c r="A11" s="3152" t="s">
        <v>1090</v>
      </c>
      <c r="B11" s="3153" t="s">
        <v>1091</v>
      </c>
      <c r="C11" s="3153"/>
      <c r="D11" s="1306" t="s">
        <v>1092</v>
      </c>
      <c r="E11" s="1306" t="s">
        <v>1093</v>
      </c>
      <c r="F11" s="1307" t="s">
        <v>1094</v>
      </c>
      <c r="G11" s="1307" t="s">
        <v>1080</v>
      </c>
      <c r="H11" s="1314" t="s">
        <v>1095</v>
      </c>
      <c r="I11" s="1305" t="s">
        <v>1081</v>
      </c>
    </row>
    <row r="12" spans="1:9">
      <c r="A12" s="3152"/>
      <c r="B12" s="3153" t="s">
        <v>1096</v>
      </c>
      <c r="C12" s="3153"/>
      <c r="D12" s="1306"/>
      <c r="E12" s="1306"/>
      <c r="F12" s="1307"/>
      <c r="G12" s="1308"/>
      <c r="H12" s="1315"/>
      <c r="I12" s="1305">
        <f>ROUND(D12*E12*F12*G12/10000,0)</f>
        <v>0</v>
      </c>
    </row>
    <row r="13" spans="1:9">
      <c r="A13" s="3152"/>
      <c r="B13" s="3153" t="s">
        <v>1097</v>
      </c>
      <c r="C13" s="3153"/>
      <c r="D13" s="1306"/>
      <c r="E13" s="1306"/>
      <c r="F13" s="1307"/>
      <c r="G13" s="1308"/>
      <c r="H13" s="1315"/>
      <c r="I13" s="1305">
        <f>ROUND(D13*E13*F13*G13/10000,0)</f>
        <v>0</v>
      </c>
    </row>
    <row r="14" spans="1:9">
      <c r="A14" s="3152"/>
      <c r="B14" s="3153" t="s">
        <v>1098</v>
      </c>
      <c r="C14" s="3153"/>
      <c r="D14" s="1306"/>
      <c r="E14" s="1306"/>
      <c r="F14" s="1307"/>
      <c r="G14" s="1308"/>
      <c r="H14" s="1315"/>
      <c r="I14" s="1305">
        <f>ROUND(D14*E14*F14*G14/10000,0)</f>
        <v>0</v>
      </c>
    </row>
    <row r="15" spans="1:9">
      <c r="A15" s="3152"/>
      <c r="B15" s="3154" t="s">
        <v>1089</v>
      </c>
      <c r="C15" s="3154"/>
      <c r="D15" s="1310"/>
      <c r="E15" s="1310">
        <f>SUM(E12:E14)</f>
        <v>0</v>
      </c>
      <c r="F15" s="1311"/>
      <c r="G15" s="1308"/>
      <c r="H15" s="1315"/>
      <c r="I15" s="1316">
        <f>SUM(I12:I14)</f>
        <v>0</v>
      </c>
    </row>
    <row r="16" spans="1:9" ht="24">
      <c r="A16" s="3152" t="s">
        <v>1099</v>
      </c>
      <c r="B16" s="3153" t="s">
        <v>1100</v>
      </c>
      <c r="C16" s="3153"/>
      <c r="D16" s="1306" t="s">
        <v>1076</v>
      </c>
      <c r="E16" s="1317" t="s">
        <v>1101</v>
      </c>
      <c r="F16" s="1307" t="s">
        <v>1102</v>
      </c>
      <c r="G16" s="1308" t="s">
        <v>1080</v>
      </c>
      <c r="H16" s="1314" t="s">
        <v>1095</v>
      </c>
      <c r="I16" s="1305" t="s">
        <v>1081</v>
      </c>
    </row>
    <row r="17" spans="1:9" ht="14.25">
      <c r="A17" s="3152"/>
      <c r="B17" s="3153" t="s">
        <v>1103</v>
      </c>
      <c r="C17" s="3153"/>
      <c r="D17" s="1306"/>
      <c r="E17" s="1306"/>
      <c r="F17" s="1307"/>
      <c r="G17" s="1308"/>
      <c r="H17" s="1318"/>
      <c r="I17" s="1319">
        <f>ROUND(D17*E17*F17*G17/10000,0)</f>
        <v>0</v>
      </c>
    </row>
    <row r="18" spans="1:9" ht="14.25">
      <c r="A18" s="3152"/>
      <c r="B18" s="3153" t="s">
        <v>1104</v>
      </c>
      <c r="C18" s="3153"/>
      <c r="D18" s="1306"/>
      <c r="E18" s="1306"/>
      <c r="F18" s="1307"/>
      <c r="G18" s="1308"/>
      <c r="H18" s="1318"/>
      <c r="I18" s="1319">
        <f>ROUND(D18*E18*F18*G18/10000,0)</f>
        <v>0</v>
      </c>
    </row>
    <row r="19" spans="1:9" ht="14.25">
      <c r="A19" s="3152"/>
      <c r="B19" s="3153" t="s">
        <v>1105</v>
      </c>
      <c r="C19" s="3153"/>
      <c r="D19" s="1306"/>
      <c r="E19" s="1306"/>
      <c r="F19" s="1307"/>
      <c r="G19" s="1308"/>
      <c r="H19" s="1318"/>
      <c r="I19" s="1319">
        <f>ROUND(D19*E19*F19*G19/10000,0)</f>
        <v>0</v>
      </c>
    </row>
    <row r="20" spans="1:9">
      <c r="A20" s="3152"/>
      <c r="B20" s="3154" t="s">
        <v>1089</v>
      </c>
      <c r="C20" s="3154"/>
      <c r="D20" s="1310">
        <f>SUM(D17:D19)</f>
        <v>0</v>
      </c>
      <c r="E20" s="1310"/>
      <c r="F20" s="1311"/>
      <c r="G20" s="1308"/>
      <c r="H20" s="1315"/>
      <c r="I20" s="1316">
        <f>SUM(I17:I19)</f>
        <v>0</v>
      </c>
    </row>
    <row r="21" spans="1:9">
      <c r="A21" s="3152" t="s">
        <v>1106</v>
      </c>
      <c r="B21" s="3155"/>
      <c r="C21" s="3155"/>
      <c r="D21" s="3155"/>
      <c r="E21" s="3155"/>
      <c r="F21" s="3155"/>
      <c r="G21" s="3155"/>
      <c r="H21" s="1768">
        <v>0.1</v>
      </c>
      <c r="I21" s="1313">
        <f>ROUND(I10*H21,0)</f>
        <v>0</v>
      </c>
    </row>
    <row r="22" spans="1:9" ht="14.25">
      <c r="A22" s="3156" t="s">
        <v>1107</v>
      </c>
      <c r="B22" s="3157"/>
      <c r="C22" s="3158"/>
      <c r="D22" s="1320" t="s">
        <v>1108</v>
      </c>
      <c r="E22" s="1320" t="s">
        <v>1109</v>
      </c>
      <c r="F22" s="1321" t="s">
        <v>1110</v>
      </c>
      <c r="G22" s="1321" t="s">
        <v>1111</v>
      </c>
      <c r="H22" s="1314" t="s">
        <v>1112</v>
      </c>
      <c r="I22" s="1305" t="s">
        <v>1113</v>
      </c>
    </row>
    <row r="23" spans="1:9" ht="14.25" thickBot="1">
      <c r="A23" s="3159"/>
      <c r="B23" s="3160"/>
      <c r="C23" s="3161"/>
      <c r="D23" s="1322"/>
      <c r="E23" s="1322"/>
      <c r="F23" s="1322"/>
      <c r="G23" s="1323"/>
      <c r="H23" s="1324"/>
      <c r="I23" s="1325">
        <f>ROUND(E23*D23*F23*(1-G23)/10000,0)</f>
        <v>0</v>
      </c>
    </row>
    <row r="26" spans="1:9">
      <c r="A26" s="1326" t="s">
        <v>1114</v>
      </c>
      <c r="B26" s="1326"/>
      <c r="C26" s="1326"/>
      <c r="D26" s="1326"/>
      <c r="E26" s="3149">
        <f>C27-C30-C31-C32</f>
        <v>0</v>
      </c>
      <c r="F26" s="3149"/>
      <c r="G26" s="3149"/>
      <c r="H26" s="1740" t="s">
        <v>1336</v>
      </c>
    </row>
    <row r="27" spans="1:9">
      <c r="A27" s="1327">
        <v>1</v>
      </c>
      <c r="B27" s="1328" t="s">
        <v>1115</v>
      </c>
      <c r="C27" s="1328">
        <f>C28+C29</f>
        <v>0</v>
      </c>
      <c r="D27" s="1328"/>
      <c r="E27" s="3150"/>
      <c r="F27" s="3150"/>
      <c r="G27" s="3150"/>
    </row>
    <row r="28" spans="1:9">
      <c r="A28" s="1329" t="s">
        <v>1116</v>
      </c>
      <c r="B28" s="1328" t="s">
        <v>1117</v>
      </c>
      <c r="C28" s="1328"/>
      <c r="D28" s="1328"/>
      <c r="E28" s="3150"/>
      <c r="F28" s="3150"/>
      <c r="G28" s="315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1"/>
      <c r="F32" s="3151"/>
      <c r="G32" s="3151"/>
    </row>
    <row r="33" spans="1:7" hidden="1">
      <c r="A33" s="3146" t="s">
        <v>1126</v>
      </c>
      <c r="B33" s="3147"/>
      <c r="C33" s="3147"/>
      <c r="D33" s="3148"/>
      <c r="E33" s="3149"/>
      <c r="F33" s="3149"/>
      <c r="G33" s="3149"/>
    </row>
    <row r="34" spans="1:7" hidden="1">
      <c r="A34" s="1331">
        <v>1</v>
      </c>
      <c r="B34" s="1328" t="s">
        <v>1127</v>
      </c>
      <c r="C34" s="1328"/>
      <c r="D34" s="1328"/>
      <c r="E34" s="3150"/>
      <c r="F34" s="3150"/>
      <c r="G34" s="3150"/>
    </row>
    <row r="35" spans="1:7" hidden="1">
      <c r="A35" s="1331">
        <v>2</v>
      </c>
      <c r="B35" s="1328" t="s">
        <v>1128</v>
      </c>
      <c r="C35" s="1328"/>
      <c r="D35" s="1328"/>
      <c r="E35" s="3150"/>
      <c r="F35" s="3150"/>
      <c r="G35" s="3150"/>
    </row>
    <row r="36" spans="1:7" hidden="1">
      <c r="A36" s="1331">
        <v>3</v>
      </c>
      <c r="B36" s="1328" t="s">
        <v>1129</v>
      </c>
      <c r="C36" s="1328"/>
      <c r="D36" s="1328"/>
      <c r="E36" s="3150"/>
      <c r="F36" s="3150"/>
      <c r="G36" s="3150"/>
    </row>
    <row r="37" spans="1:7" hidden="1">
      <c r="A37" s="1331">
        <v>4</v>
      </c>
      <c r="B37" s="1328" t="s">
        <v>1130</v>
      </c>
      <c r="C37" s="1328"/>
      <c r="D37" s="1328"/>
      <c r="E37" s="3150"/>
      <c r="F37" s="3150"/>
      <c r="G37" s="3150"/>
    </row>
    <row r="38" spans="1:7" hidden="1">
      <c r="A38" s="3146" t="s">
        <v>1131</v>
      </c>
      <c r="B38" s="3147"/>
      <c r="C38" s="3147"/>
      <c r="D38" s="3148"/>
      <c r="E38" s="3149"/>
      <c r="F38" s="3149"/>
      <c r="G38" s="31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7397.6099999999988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85" t="s">
        <v>2537</v>
      </c>
      <c r="D4" s="3186"/>
      <c r="E4" s="3187" t="s">
        <v>2538</v>
      </c>
      <c r="F4" s="3188"/>
      <c r="G4" s="3185" t="s">
        <v>2539</v>
      </c>
      <c r="H4" s="3186"/>
      <c r="I4" s="3185" t="s">
        <v>2540</v>
      </c>
      <c r="J4" s="3186"/>
      <c r="K4" s="2603" t="s">
        <v>2541</v>
      </c>
      <c r="L4" s="1133"/>
      <c r="M4" s="1134"/>
      <c r="N4" s="1134"/>
      <c r="O4" s="1134"/>
      <c r="P4" s="3189" t="s">
        <v>2542</v>
      </c>
      <c r="Q4" s="3190"/>
      <c r="R4" s="3195" t="s">
        <v>2538</v>
      </c>
      <c r="S4" s="3196"/>
      <c r="T4" s="3195" t="s">
        <v>2539</v>
      </c>
      <c r="U4" s="3196"/>
      <c r="V4" s="3201" t="s">
        <v>2540</v>
      </c>
      <c r="W4" s="3201"/>
      <c r="X4" s="1816"/>
      <c r="Y4" s="3195" t="s">
        <v>2542</v>
      </c>
      <c r="Z4" s="3196"/>
      <c r="AA4" s="3182" t="s">
        <v>2538</v>
      </c>
      <c r="AB4" s="3182" t="s">
        <v>2539</v>
      </c>
      <c r="AC4" s="3182" t="s">
        <v>2540</v>
      </c>
    </row>
    <row r="5" spans="1:29" ht="15">
      <c r="A5" s="404"/>
      <c r="B5" s="405"/>
      <c r="C5" s="3204" t="s">
        <v>2543</v>
      </c>
      <c r="D5" s="3205"/>
      <c r="E5" s="3211" t="s">
        <v>2544</v>
      </c>
      <c r="F5" s="3212"/>
      <c r="G5" s="3204" t="s">
        <v>2545</v>
      </c>
      <c r="H5" s="3205"/>
      <c r="I5" s="3204" t="s">
        <v>2546</v>
      </c>
      <c r="J5" s="3205"/>
      <c r="K5" s="2604"/>
      <c r="L5" s="1133"/>
      <c r="M5" s="1134"/>
      <c r="N5" s="1134"/>
      <c r="O5" s="1134"/>
      <c r="P5" s="3191"/>
      <c r="Q5" s="3192"/>
      <c r="R5" s="3197"/>
      <c r="S5" s="3198"/>
      <c r="T5" s="3197"/>
      <c r="U5" s="3198"/>
      <c r="V5" s="3201"/>
      <c r="W5" s="3201"/>
      <c r="X5" s="1816"/>
      <c r="Y5" s="3197"/>
      <c r="Z5" s="3198"/>
      <c r="AA5" s="3183"/>
      <c r="AB5" s="3183"/>
      <c r="AC5" s="3183"/>
    </row>
    <row r="6" spans="1:29" ht="15.75" thickBot="1">
      <c r="A6" s="406"/>
      <c r="B6" s="407"/>
      <c r="C6" s="3202" t="s">
        <v>2547</v>
      </c>
      <c r="D6" s="3203"/>
      <c r="E6" s="3209" t="s">
        <v>2547</v>
      </c>
      <c r="F6" s="3210"/>
      <c r="G6" s="3202" t="s">
        <v>2547</v>
      </c>
      <c r="H6" s="3203"/>
      <c r="I6" s="3202" t="s">
        <v>2547</v>
      </c>
      <c r="J6" s="3203"/>
      <c r="K6" s="2604" t="s">
        <v>2548</v>
      </c>
      <c r="L6" s="1133"/>
      <c r="M6" s="1134"/>
      <c r="N6" s="1134"/>
      <c r="O6" s="1134"/>
      <c r="P6" s="3193"/>
      <c r="Q6" s="3194"/>
      <c r="R6" s="3197"/>
      <c r="S6" s="3198"/>
      <c r="T6" s="3199"/>
      <c r="U6" s="3200"/>
      <c r="V6" s="3201"/>
      <c r="W6" s="3201"/>
      <c r="X6" s="1816"/>
      <c r="Y6" s="3199"/>
      <c r="Z6" s="3200"/>
      <c r="AA6" s="3184"/>
      <c r="AB6" s="3184"/>
      <c r="AC6" s="3184"/>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6" t="s">
        <v>2550</v>
      </c>
      <c r="Q7" s="3208"/>
      <c r="R7" s="770" t="s">
        <v>23</v>
      </c>
      <c r="S7" s="771">
        <f t="shared" ref="S7:S15" si="0">F7</f>
        <v>0</v>
      </c>
      <c r="T7" s="770" t="s">
        <v>23</v>
      </c>
      <c r="U7" s="771">
        <f t="shared" ref="U7:U15" si="1">H7</f>
        <v>0</v>
      </c>
      <c r="V7" s="770" t="s">
        <v>23</v>
      </c>
      <c r="W7" s="771">
        <f t="shared" ref="W7:W15" si="2">J7</f>
        <v>0</v>
      </c>
      <c r="X7" s="772"/>
      <c r="Y7" s="3206" t="s">
        <v>2550</v>
      </c>
      <c r="Z7" s="3207"/>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6" t="s">
        <v>2553</v>
      </c>
      <c r="Q8" s="3207"/>
      <c r="R8" s="770" t="s">
        <v>23</v>
      </c>
      <c r="S8" s="771">
        <f t="shared" si="0"/>
        <v>0</v>
      </c>
      <c r="T8" s="770" t="s">
        <v>23</v>
      </c>
      <c r="U8" s="771">
        <f t="shared" si="1"/>
        <v>0</v>
      </c>
      <c r="V8" s="770" t="s">
        <v>23</v>
      </c>
      <c r="W8" s="771">
        <f t="shared" si="2"/>
        <v>0</v>
      </c>
      <c r="X8" s="772"/>
      <c r="Y8" s="3206" t="s">
        <v>2553</v>
      </c>
      <c r="Z8" s="320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9" t="s">
        <v>2561</v>
      </c>
      <c r="Q15" s="1813" t="str">
        <f t="shared" si="6"/>
        <v>居住社区成熟度</v>
      </c>
      <c r="R15" s="774" t="s">
        <v>21</v>
      </c>
      <c r="S15" s="775">
        <f t="shared" si="0"/>
        <v>100</v>
      </c>
      <c r="T15" s="774" t="s">
        <v>21</v>
      </c>
      <c r="U15" s="775">
        <f t="shared" si="1"/>
        <v>100</v>
      </c>
      <c r="V15" s="774" t="s">
        <v>21</v>
      </c>
      <c r="W15" s="775">
        <f t="shared" si="2"/>
        <v>100</v>
      </c>
      <c r="X15" s="1816"/>
      <c r="Y15" s="3172"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80"/>
      <c r="Q16" s="1813"/>
      <c r="R16" s="774"/>
      <c r="S16" s="775"/>
      <c r="T16" s="774"/>
      <c r="U16" s="775"/>
      <c r="V16" s="774"/>
      <c r="W16" s="775"/>
      <c r="X16" s="1816"/>
      <c r="Y16" s="317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0"/>
      <c r="Q17" s="1813" t="str">
        <f>B17</f>
        <v>交通便捷度</v>
      </c>
      <c r="R17" s="774" t="s">
        <v>21</v>
      </c>
      <c r="S17" s="775">
        <f>F17</f>
        <v>100</v>
      </c>
      <c r="T17" s="774" t="s">
        <v>21</v>
      </c>
      <c r="U17" s="775">
        <f>H17</f>
        <v>100</v>
      </c>
      <c r="V17" s="774" t="s">
        <v>21</v>
      </c>
      <c r="W17" s="775">
        <f>J17</f>
        <v>100</v>
      </c>
      <c r="X17" s="1816"/>
      <c r="Y17" s="317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80"/>
      <c r="Q18" s="1813"/>
      <c r="R18" s="774"/>
      <c r="S18" s="775"/>
      <c r="T18" s="774"/>
      <c r="U18" s="775"/>
      <c r="V18" s="774"/>
      <c r="W18" s="775"/>
      <c r="X18" s="1816"/>
      <c r="Y18" s="3173"/>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0"/>
      <c r="Q19" s="1813" t="str">
        <f>B19</f>
        <v>公共配套设施</v>
      </c>
      <c r="R19" s="774" t="s">
        <v>21</v>
      </c>
      <c r="S19" s="775">
        <f>F19</f>
        <v>100</v>
      </c>
      <c r="T19" s="774" t="s">
        <v>21</v>
      </c>
      <c r="U19" s="775">
        <f>H19</f>
        <v>100</v>
      </c>
      <c r="V19" s="774" t="s">
        <v>21</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80"/>
      <c r="Q20" s="1813"/>
      <c r="R20" s="774"/>
      <c r="S20" s="775"/>
      <c r="T20" s="774"/>
      <c r="U20" s="775"/>
      <c r="V20" s="774"/>
      <c r="W20" s="775"/>
      <c r="X20" s="1816"/>
      <c r="Y20" s="3173"/>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0"/>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80"/>
      <c r="Q22" s="1813"/>
      <c r="R22" s="774"/>
      <c r="S22" s="775"/>
      <c r="T22" s="774"/>
      <c r="U22" s="775"/>
      <c r="V22" s="774"/>
      <c r="W22" s="775"/>
      <c r="X22" s="1816"/>
      <c r="Y22" s="3173"/>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0"/>
      <c r="Q23" s="1813" t="str">
        <f>B23</f>
        <v>自然及人文环境</v>
      </c>
      <c r="R23" s="774" t="s">
        <v>21</v>
      </c>
      <c r="S23" s="775">
        <f>F23</f>
        <v>100</v>
      </c>
      <c r="T23" s="774" t="s">
        <v>21</v>
      </c>
      <c r="U23" s="775">
        <f>H23</f>
        <v>100</v>
      </c>
      <c r="V23" s="774" t="s">
        <v>21</v>
      </c>
      <c r="W23" s="775">
        <f>J23</f>
        <v>100</v>
      </c>
      <c r="X23" s="1816"/>
      <c r="Y23" s="317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80"/>
      <c r="Q24" s="1813"/>
      <c r="R24" s="774"/>
      <c r="S24" s="775"/>
      <c r="T24" s="774"/>
      <c r="U24" s="775"/>
      <c r="V24" s="774"/>
      <c r="W24" s="775"/>
      <c r="X24" s="1816"/>
      <c r="Y24" s="3173"/>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8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3"/>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80"/>
      <c r="Q26" s="1813" t="str">
        <f t="shared" si="11"/>
        <v>朝向</v>
      </c>
      <c r="R26" s="774" t="s">
        <v>21</v>
      </c>
      <c r="S26" s="775">
        <f t="shared" si="12"/>
        <v>100</v>
      </c>
      <c r="T26" s="774" t="s">
        <v>21</v>
      </c>
      <c r="U26" s="775">
        <f t="shared" si="13"/>
        <v>100</v>
      </c>
      <c r="V26" s="774" t="s">
        <v>21</v>
      </c>
      <c r="W26" s="775">
        <f t="shared" si="14"/>
        <v>100</v>
      </c>
      <c r="X26" s="1816"/>
      <c r="Y26" s="317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80"/>
      <c r="Q27" s="1798">
        <f t="shared" si="11"/>
        <v>111</v>
      </c>
      <c r="R27" s="770" t="s">
        <v>21</v>
      </c>
      <c r="S27" s="771">
        <f t="shared" si="12"/>
        <v>100</v>
      </c>
      <c r="T27" s="770" t="s">
        <v>21</v>
      </c>
      <c r="U27" s="771">
        <f t="shared" si="13"/>
        <v>100</v>
      </c>
      <c r="V27" s="770" t="s">
        <v>21</v>
      </c>
      <c r="W27" s="771">
        <f t="shared" si="14"/>
        <v>100</v>
      </c>
      <c r="X27" s="772"/>
      <c r="Y27" s="317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80"/>
      <c r="Q28" s="1813">
        <f t="shared" si="11"/>
        <v>111</v>
      </c>
      <c r="R28" s="774" t="s">
        <v>21</v>
      </c>
      <c r="S28" s="775">
        <f t="shared" si="12"/>
        <v>100</v>
      </c>
      <c r="T28" s="774" t="s">
        <v>21</v>
      </c>
      <c r="U28" s="775">
        <f t="shared" si="13"/>
        <v>100</v>
      </c>
      <c r="V28" s="774" t="s">
        <v>21</v>
      </c>
      <c r="W28" s="775">
        <f t="shared" si="14"/>
        <v>100</v>
      </c>
      <c r="X28" s="1816"/>
      <c r="Y28" s="317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80"/>
      <c r="Q29" s="1813">
        <f t="shared" si="11"/>
        <v>111</v>
      </c>
      <c r="R29" s="774" t="s">
        <v>21</v>
      </c>
      <c r="S29" s="775">
        <f t="shared" si="12"/>
        <v>100</v>
      </c>
      <c r="T29" s="774" t="s">
        <v>21</v>
      </c>
      <c r="U29" s="775">
        <f t="shared" si="13"/>
        <v>100</v>
      </c>
      <c r="V29" s="774" t="s">
        <v>21</v>
      </c>
      <c r="W29" s="775">
        <f t="shared" si="14"/>
        <v>100</v>
      </c>
      <c r="X29" s="1816"/>
      <c r="Y29" s="317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80"/>
      <c r="Q30" s="1813">
        <f t="shared" si="11"/>
        <v>111</v>
      </c>
      <c r="R30" s="774" t="s">
        <v>21</v>
      </c>
      <c r="S30" s="775">
        <f t="shared" si="12"/>
        <v>100</v>
      </c>
      <c r="T30" s="774" t="s">
        <v>21</v>
      </c>
      <c r="U30" s="775">
        <f t="shared" si="13"/>
        <v>100</v>
      </c>
      <c r="V30" s="774" t="s">
        <v>21</v>
      </c>
      <c r="W30" s="775">
        <f t="shared" si="14"/>
        <v>100</v>
      </c>
      <c r="X30" s="1816"/>
      <c r="Y30" s="317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80"/>
      <c r="Q31" s="1813">
        <f t="shared" si="11"/>
        <v>111</v>
      </c>
      <c r="R31" s="774" t="s">
        <v>21</v>
      </c>
      <c r="S31" s="775">
        <f t="shared" si="12"/>
        <v>100</v>
      </c>
      <c r="T31" s="774" t="s">
        <v>21</v>
      </c>
      <c r="U31" s="775">
        <f t="shared" si="13"/>
        <v>100</v>
      </c>
      <c r="V31" s="774" t="s">
        <v>21</v>
      </c>
      <c r="W31" s="775">
        <f t="shared" si="14"/>
        <v>100</v>
      </c>
      <c r="X31" s="1816"/>
      <c r="Y31" s="3173"/>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74" t="s">
        <v>2566</v>
      </c>
      <c r="Q32" s="1813" t="str">
        <f t="shared" si="11"/>
        <v>建筑类型</v>
      </c>
      <c r="R32" s="774" t="s">
        <v>21</v>
      </c>
      <c r="S32" s="775">
        <f t="shared" si="12"/>
        <v>100</v>
      </c>
      <c r="T32" s="774" t="s">
        <v>21</v>
      </c>
      <c r="U32" s="775">
        <f t="shared" si="13"/>
        <v>100</v>
      </c>
      <c r="V32" s="774" t="s">
        <v>21</v>
      </c>
      <c r="W32" s="775">
        <f t="shared" si="14"/>
        <v>100</v>
      </c>
      <c r="X32" s="1816"/>
      <c r="Y32" s="317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5"/>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5"/>
      <c r="Q34" s="1813" t="str">
        <f t="shared" si="11"/>
        <v>建筑结构</v>
      </c>
      <c r="R34" s="774" t="s">
        <v>21</v>
      </c>
      <c r="S34" s="775">
        <f t="shared" si="12"/>
        <v>100</v>
      </c>
      <c r="T34" s="774" t="s">
        <v>21</v>
      </c>
      <c r="U34" s="775">
        <f t="shared" si="13"/>
        <v>100</v>
      </c>
      <c r="V34" s="774" t="s">
        <v>21</v>
      </c>
      <c r="W34" s="775">
        <f t="shared" si="14"/>
        <v>100</v>
      </c>
      <c r="X34" s="1816"/>
      <c r="Y34" s="3177"/>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5"/>
      <c r="Q35" s="1813" t="str">
        <f t="shared" si="11"/>
        <v>建筑品质</v>
      </c>
      <c r="R35" s="774" t="s">
        <v>21</v>
      </c>
      <c r="S35" s="775">
        <f t="shared" si="12"/>
        <v>100</v>
      </c>
      <c r="T35" s="774" t="s">
        <v>21</v>
      </c>
      <c r="U35" s="775">
        <f t="shared" si="13"/>
        <v>100</v>
      </c>
      <c r="V35" s="774" t="s">
        <v>21</v>
      </c>
      <c r="W35" s="775">
        <f t="shared" si="14"/>
        <v>100</v>
      </c>
      <c r="X35" s="1816"/>
      <c r="Y35" s="3177"/>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5"/>
      <c r="Q36" s="1813" t="str">
        <f t="shared" si="11"/>
        <v>公共部分装修</v>
      </c>
      <c r="R36" s="774" t="s">
        <v>21</v>
      </c>
      <c r="S36" s="775">
        <f t="shared" si="12"/>
        <v>100</v>
      </c>
      <c r="T36" s="774" t="s">
        <v>21</v>
      </c>
      <c r="U36" s="775">
        <f t="shared" si="13"/>
        <v>100</v>
      </c>
      <c r="V36" s="774" t="s">
        <v>21</v>
      </c>
      <c r="W36" s="775">
        <f t="shared" si="14"/>
        <v>100</v>
      </c>
      <c r="X36" s="1816"/>
      <c r="Y36" s="317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5"/>
      <c r="Q37" s="1798"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5" t="s">
        <v>2566</v>
      </c>
      <c r="Q38" s="1813" t="str">
        <f t="shared" si="11"/>
        <v>物业管理</v>
      </c>
      <c r="R38" s="774" t="s">
        <v>21</v>
      </c>
      <c r="S38" s="775">
        <f t="shared" si="12"/>
        <v>100</v>
      </c>
      <c r="T38" s="774" t="s">
        <v>21</v>
      </c>
      <c r="U38" s="775">
        <f t="shared" si="13"/>
        <v>100</v>
      </c>
      <c r="V38" s="774" t="s">
        <v>21</v>
      </c>
      <c r="W38" s="775">
        <f t="shared" si="14"/>
        <v>100</v>
      </c>
      <c r="X38" s="1816"/>
      <c r="Y38" s="3177"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5"/>
      <c r="Q39" s="1813" t="str">
        <f t="shared" si="11"/>
        <v>市政基础设施</v>
      </c>
      <c r="R39" s="774" t="s">
        <v>21</v>
      </c>
      <c r="S39" s="775">
        <f t="shared" si="12"/>
        <v>100</v>
      </c>
      <c r="T39" s="774" t="s">
        <v>21</v>
      </c>
      <c r="U39" s="775">
        <f t="shared" si="13"/>
        <v>100</v>
      </c>
      <c r="V39" s="774" t="s">
        <v>21</v>
      </c>
      <c r="W39" s="775">
        <f t="shared" si="14"/>
        <v>100</v>
      </c>
      <c r="X39" s="1816"/>
      <c r="Y39" s="3177"/>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5"/>
      <c r="Q40" s="1813" t="str">
        <f t="shared" si="11"/>
        <v>房型</v>
      </c>
      <c r="R40" s="774" t="s">
        <v>21</v>
      </c>
      <c r="S40" s="775">
        <f t="shared" si="12"/>
        <v>100</v>
      </c>
      <c r="T40" s="774" t="s">
        <v>21</v>
      </c>
      <c r="U40" s="775">
        <f t="shared" si="13"/>
        <v>100</v>
      </c>
      <c r="V40" s="774" t="s">
        <v>21</v>
      </c>
      <c r="W40" s="775">
        <f t="shared" si="14"/>
        <v>100</v>
      </c>
      <c r="X40" s="1816"/>
      <c r="Y40" s="317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5"/>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5"/>
      <c r="Q42" s="1813" t="str">
        <f t="shared" si="11"/>
        <v>内部装修</v>
      </c>
      <c r="R42" s="774" t="s">
        <v>21</v>
      </c>
      <c r="S42" s="775">
        <f t="shared" si="12"/>
        <v>100</v>
      </c>
      <c r="T42" s="774" t="s">
        <v>21</v>
      </c>
      <c r="U42" s="775">
        <f t="shared" si="13"/>
        <v>100</v>
      </c>
      <c r="V42" s="774" t="s">
        <v>21</v>
      </c>
      <c r="W42" s="775">
        <f t="shared" si="14"/>
        <v>100</v>
      </c>
      <c r="X42" s="1816"/>
      <c r="Y42" s="3177"/>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5"/>
      <c r="Q43" s="1813" t="str">
        <f t="shared" si="11"/>
        <v>内部装修维护情况</v>
      </c>
      <c r="R43" s="774" t="s">
        <v>21</v>
      </c>
      <c r="S43" s="775">
        <f t="shared" si="12"/>
        <v>100</v>
      </c>
      <c r="T43" s="774" t="s">
        <v>21</v>
      </c>
      <c r="U43" s="775">
        <f t="shared" si="13"/>
        <v>100</v>
      </c>
      <c r="V43" s="774" t="s">
        <v>21</v>
      </c>
      <c r="W43" s="775">
        <f t="shared" si="14"/>
        <v>100</v>
      </c>
      <c r="X43" s="1816"/>
      <c r="Y43" s="31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5"/>
      <c r="Q44" s="1798">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5"/>
      <c r="Q45" s="1813">
        <f t="shared" si="11"/>
        <v>111</v>
      </c>
      <c r="R45" s="774" t="s">
        <v>21</v>
      </c>
      <c r="S45" s="775">
        <f t="shared" si="12"/>
        <v>100</v>
      </c>
      <c r="T45" s="774" t="s">
        <v>21</v>
      </c>
      <c r="U45" s="775">
        <f t="shared" si="13"/>
        <v>100</v>
      </c>
      <c r="V45" s="774" t="s">
        <v>21</v>
      </c>
      <c r="W45" s="775">
        <f t="shared" si="14"/>
        <v>100</v>
      </c>
      <c r="X45" s="1816"/>
      <c r="Y45" s="317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6"/>
      <c r="Q46" s="1813">
        <f t="shared" si="11"/>
        <v>111</v>
      </c>
      <c r="R46" s="774" t="s">
        <v>20</v>
      </c>
      <c r="S46" s="775">
        <f t="shared" si="12"/>
        <v>100</v>
      </c>
      <c r="T46" s="774" t="s">
        <v>20</v>
      </c>
      <c r="U46" s="775">
        <f t="shared" si="13"/>
        <v>100</v>
      </c>
      <c r="V46" s="774" t="s">
        <v>20</v>
      </c>
      <c r="W46" s="775">
        <f t="shared" si="14"/>
        <v>100</v>
      </c>
      <c r="X46" s="1816"/>
      <c r="Y46" s="3178"/>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201" t="s">
        <v>2649</v>
      </c>
      <c r="AC4" s="3182" t="s">
        <v>2650</v>
      </c>
    </row>
    <row r="5" spans="1:29"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201"/>
      <c r="AC5" s="3183"/>
    </row>
    <row r="6" spans="1:29" ht="15.75" thickBot="1">
      <c r="A6" s="406"/>
      <c r="B6" s="407"/>
      <c r="C6" s="3202" t="s">
        <v>2547</v>
      </c>
      <c r="D6" s="3203"/>
      <c r="E6" s="3209" t="s">
        <v>2547</v>
      </c>
      <c r="F6" s="3210"/>
      <c r="G6" s="3202" t="s">
        <v>2547</v>
      </c>
      <c r="H6" s="3203"/>
      <c r="I6" s="3202" t="s">
        <v>2547</v>
      </c>
      <c r="J6" s="3203"/>
      <c r="K6" s="610" t="s">
        <v>2548</v>
      </c>
      <c r="L6" s="1133"/>
      <c r="M6" s="1134"/>
      <c r="N6" s="1134"/>
      <c r="O6" s="1134"/>
      <c r="P6" s="3193"/>
      <c r="Q6" s="3194"/>
      <c r="R6" s="3197"/>
      <c r="S6" s="3198"/>
      <c r="T6" s="3199"/>
      <c r="U6" s="3200"/>
      <c r="V6" s="3201"/>
      <c r="W6" s="3201"/>
      <c r="X6" s="1816"/>
      <c r="Y6" s="3199"/>
      <c r="Z6" s="3200"/>
      <c r="AA6" s="3184"/>
      <c r="AB6" s="3201"/>
      <c r="AC6" s="3184"/>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6" t="s">
        <v>2550</v>
      </c>
      <c r="Q7" s="3208"/>
      <c r="R7" s="770" t="s">
        <v>17</v>
      </c>
      <c r="S7" s="771">
        <f t="shared" ref="S7:S15" si="0">F7</f>
        <v>0</v>
      </c>
      <c r="T7" s="770" t="s">
        <v>17</v>
      </c>
      <c r="U7" s="771">
        <f t="shared" ref="U7:U15" si="1">H7</f>
        <v>0</v>
      </c>
      <c r="V7" s="770" t="s">
        <v>17</v>
      </c>
      <c r="W7" s="771">
        <f t="shared" ref="W7:W15" si="2">J7</f>
        <v>0</v>
      </c>
      <c r="X7" s="772"/>
      <c r="Y7" s="3206" t="s">
        <v>2550</v>
      </c>
      <c r="Z7" s="320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9" t="s">
        <v>2561</v>
      </c>
      <c r="Q15" s="1813" t="str">
        <f t="shared" si="6"/>
        <v>商业繁华度</v>
      </c>
      <c r="R15" s="774" t="s">
        <v>17</v>
      </c>
      <c r="S15" s="775">
        <f t="shared" si="0"/>
        <v>100</v>
      </c>
      <c r="T15" s="774" t="s">
        <v>17</v>
      </c>
      <c r="U15" s="775">
        <f t="shared" si="1"/>
        <v>100</v>
      </c>
      <c r="V15" s="774" t="s">
        <v>17</v>
      </c>
      <c r="W15" s="775">
        <f t="shared" si="2"/>
        <v>100</v>
      </c>
      <c r="X15" s="1816"/>
      <c r="Y15" s="3172"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0"/>
      <c r="Q16" s="1813"/>
      <c r="R16" s="774"/>
      <c r="S16" s="775"/>
      <c r="T16" s="774"/>
      <c r="U16" s="775"/>
      <c r="V16" s="774"/>
      <c r="W16" s="775"/>
      <c r="X16" s="1816"/>
      <c r="Y16" s="317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0"/>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80"/>
      <c r="Q18" s="1813"/>
      <c r="R18" s="774"/>
      <c r="S18" s="775"/>
      <c r="T18" s="774"/>
      <c r="U18" s="775"/>
      <c r="V18" s="774"/>
      <c r="W18" s="775"/>
      <c r="X18" s="1816"/>
      <c r="Y18" s="3173"/>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0"/>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80"/>
      <c r="Q20" s="1813"/>
      <c r="R20" s="774"/>
      <c r="S20" s="775"/>
      <c r="T20" s="774"/>
      <c r="U20" s="775"/>
      <c r="V20" s="774"/>
      <c r="W20" s="775"/>
      <c r="X20" s="1816"/>
      <c r="Y20" s="3173"/>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0"/>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80"/>
      <c r="Q22" s="1813"/>
      <c r="R22" s="774"/>
      <c r="S22" s="775"/>
      <c r="T22" s="774"/>
      <c r="U22" s="775"/>
      <c r="V22" s="774"/>
      <c r="W22" s="775"/>
      <c r="X22" s="1816"/>
      <c r="Y22" s="3173"/>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0"/>
      <c r="Q23" s="1813" t="str">
        <f>B23</f>
        <v>自然及人文环境</v>
      </c>
      <c r="R23" s="774" t="s">
        <v>17</v>
      </c>
      <c r="S23" s="775">
        <f>F23</f>
        <v>100</v>
      </c>
      <c r="T23" s="774" t="s">
        <v>17</v>
      </c>
      <c r="U23" s="775">
        <f>H23</f>
        <v>100</v>
      </c>
      <c r="V23" s="774" t="s">
        <v>17</v>
      </c>
      <c r="W23" s="775">
        <f>J23</f>
        <v>100</v>
      </c>
      <c r="X23" s="1816"/>
      <c r="Y23" s="317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80"/>
      <c r="Q24" s="1813"/>
      <c r="R24" s="774"/>
      <c r="S24" s="775"/>
      <c r="T24" s="774"/>
      <c r="U24" s="775"/>
      <c r="V24" s="774"/>
      <c r="W24" s="775"/>
      <c r="X24" s="1816"/>
      <c r="Y24" s="3173"/>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0"/>
      <c r="Q25" s="1813" t="str">
        <f t="shared" ref="Q25:Q46" si="11">B25</f>
        <v>临街状况</v>
      </c>
      <c r="R25" s="774" t="s">
        <v>17</v>
      </c>
      <c r="S25" s="775">
        <f>F25</f>
        <v>100</v>
      </c>
      <c r="T25" s="774" t="s">
        <v>17</v>
      </c>
      <c r="U25" s="775">
        <f>H25</f>
        <v>100</v>
      </c>
      <c r="V25" s="774" t="s">
        <v>17</v>
      </c>
      <c r="W25" s="775">
        <f>J25</f>
        <v>100</v>
      </c>
      <c r="X25" s="1816"/>
      <c r="Y25" s="3173"/>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0"/>
      <c r="Q26" s="1813" t="str">
        <f t="shared" si="11"/>
        <v>平面位置/可视性</v>
      </c>
      <c r="R26" s="774" t="s">
        <v>17</v>
      </c>
      <c r="S26" s="775">
        <f>F26</f>
        <v>100</v>
      </c>
      <c r="T26" s="774" t="s">
        <v>17</v>
      </c>
      <c r="U26" s="775">
        <f>H26</f>
        <v>100</v>
      </c>
      <c r="V26" s="774" t="s">
        <v>17</v>
      </c>
      <c r="W26" s="775">
        <f>J26</f>
        <v>100</v>
      </c>
      <c r="X26" s="1816"/>
      <c r="Y26" s="3173"/>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80"/>
      <c r="Q27" s="1798" t="str">
        <f t="shared" si="11"/>
        <v>人流量</v>
      </c>
      <c r="R27" s="770" t="s">
        <v>17</v>
      </c>
      <c r="S27" s="771">
        <f>F27</f>
        <v>100</v>
      </c>
      <c r="T27" s="770" t="s">
        <v>17</v>
      </c>
      <c r="U27" s="771">
        <f>H27</f>
        <v>100</v>
      </c>
      <c r="V27" s="770" t="s">
        <v>17</v>
      </c>
      <c r="W27" s="771">
        <f>J27</f>
        <v>100</v>
      </c>
      <c r="X27" s="772"/>
      <c r="Y27" s="3173"/>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0"/>
      <c r="Q29" s="1813">
        <f t="shared" si="11"/>
        <v>111</v>
      </c>
      <c r="R29" s="774" t="s">
        <v>17</v>
      </c>
      <c r="S29" s="775">
        <f t="shared" si="12"/>
        <v>100</v>
      </c>
      <c r="T29" s="774" t="s">
        <v>17</v>
      </c>
      <c r="U29" s="775">
        <f t="shared" si="13"/>
        <v>100</v>
      </c>
      <c r="V29" s="774" t="s">
        <v>17</v>
      </c>
      <c r="W29" s="775">
        <f t="shared" si="14"/>
        <v>100</v>
      </c>
      <c r="X29" s="1816"/>
      <c r="Y29" s="317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0"/>
      <c r="Q30" s="1813">
        <f t="shared" si="11"/>
        <v>111</v>
      </c>
      <c r="R30" s="774" t="s">
        <v>17</v>
      </c>
      <c r="S30" s="775">
        <f t="shared" si="12"/>
        <v>100</v>
      </c>
      <c r="T30" s="774" t="s">
        <v>17</v>
      </c>
      <c r="U30" s="775">
        <f t="shared" si="13"/>
        <v>100</v>
      </c>
      <c r="V30" s="774" t="s">
        <v>17</v>
      </c>
      <c r="W30" s="775">
        <f t="shared" si="14"/>
        <v>100</v>
      </c>
      <c r="X30" s="1816"/>
      <c r="Y30" s="317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0"/>
      <c r="Q31" s="1813">
        <f t="shared" si="11"/>
        <v>111</v>
      </c>
      <c r="R31" s="774" t="s">
        <v>17</v>
      </c>
      <c r="S31" s="775">
        <f t="shared" si="12"/>
        <v>100</v>
      </c>
      <c r="T31" s="774" t="s">
        <v>17</v>
      </c>
      <c r="U31" s="775">
        <f t="shared" si="13"/>
        <v>100</v>
      </c>
      <c r="V31" s="774" t="s">
        <v>17</v>
      </c>
      <c r="W31" s="775">
        <f t="shared" si="14"/>
        <v>100</v>
      </c>
      <c r="X31" s="1816"/>
      <c r="Y31" s="3173"/>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74" t="s">
        <v>2566</v>
      </c>
      <c r="Q32" s="1813" t="str">
        <f t="shared" si="11"/>
        <v>商业类型</v>
      </c>
      <c r="R32" s="774" t="s">
        <v>17</v>
      </c>
      <c r="S32" s="775">
        <f t="shared" si="12"/>
        <v>100</v>
      </c>
      <c r="T32" s="774" t="s">
        <v>17</v>
      </c>
      <c r="U32" s="775">
        <f t="shared" si="13"/>
        <v>100</v>
      </c>
      <c r="V32" s="774" t="s">
        <v>17</v>
      </c>
      <c r="W32" s="775">
        <f t="shared" si="14"/>
        <v>100</v>
      </c>
      <c r="X32" s="1816"/>
      <c r="Y32" s="3177"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5"/>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5"/>
      <c r="Q34" s="1813" t="str">
        <f t="shared" si="11"/>
        <v>建筑结构</v>
      </c>
      <c r="R34" s="774" t="s">
        <v>17</v>
      </c>
      <c r="S34" s="775">
        <f t="shared" si="12"/>
        <v>100</v>
      </c>
      <c r="T34" s="774" t="s">
        <v>17</v>
      </c>
      <c r="U34" s="775">
        <f t="shared" si="13"/>
        <v>100</v>
      </c>
      <c r="V34" s="774" t="s">
        <v>17</v>
      </c>
      <c r="W34" s="775">
        <f t="shared" si="14"/>
        <v>100</v>
      </c>
      <c r="X34" s="1816"/>
      <c r="Y34" s="3177"/>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5"/>
      <c r="Q35" s="1813" t="str">
        <f t="shared" si="11"/>
        <v>公共部分装修</v>
      </c>
      <c r="R35" s="774" t="s">
        <v>17</v>
      </c>
      <c r="S35" s="775">
        <f t="shared" si="12"/>
        <v>100</v>
      </c>
      <c r="T35" s="774" t="s">
        <v>17</v>
      </c>
      <c r="U35" s="775">
        <f t="shared" si="13"/>
        <v>100</v>
      </c>
      <c r="V35" s="774" t="s">
        <v>17</v>
      </c>
      <c r="W35" s="775">
        <f t="shared" si="14"/>
        <v>100</v>
      </c>
      <c r="X35" s="1816"/>
      <c r="Y35" s="3177"/>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5"/>
      <c r="Q36" s="1813" t="str">
        <f t="shared" si="11"/>
        <v>成新度</v>
      </c>
      <c r="R36" s="774" t="s">
        <v>17</v>
      </c>
      <c r="S36" s="775" t="e">
        <f t="shared" si="12"/>
        <v>#N/A</v>
      </c>
      <c r="T36" s="774" t="s">
        <v>17</v>
      </c>
      <c r="U36" s="775" t="e">
        <f t="shared" si="13"/>
        <v>#N/A</v>
      </c>
      <c r="V36" s="774" t="s">
        <v>17</v>
      </c>
      <c r="W36" s="775" t="e">
        <f t="shared" si="14"/>
        <v>#N/A</v>
      </c>
      <c r="X36" s="1816"/>
      <c r="Y36" s="3177"/>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5"/>
      <c r="Q37" s="1798"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5" t="s">
        <v>2566</v>
      </c>
      <c r="Q38" s="1813" t="str">
        <f t="shared" si="11"/>
        <v>业态</v>
      </c>
      <c r="R38" s="774" t="s">
        <v>17</v>
      </c>
      <c r="S38" s="775">
        <f t="shared" si="12"/>
        <v>100</v>
      </c>
      <c r="T38" s="774" t="s">
        <v>17</v>
      </c>
      <c r="U38" s="775">
        <f t="shared" si="13"/>
        <v>100</v>
      </c>
      <c r="V38" s="774" t="s">
        <v>17</v>
      </c>
      <c r="W38" s="775">
        <f t="shared" si="14"/>
        <v>100</v>
      </c>
      <c r="X38" s="1816"/>
      <c r="Y38" s="3177"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5"/>
      <c r="Q39" s="1813" t="str">
        <f t="shared" si="11"/>
        <v>层高</v>
      </c>
      <c r="R39" s="774" t="s">
        <v>17</v>
      </c>
      <c r="S39" s="775">
        <f t="shared" si="12"/>
        <v>100</v>
      </c>
      <c r="T39" s="774" t="s">
        <v>17</v>
      </c>
      <c r="U39" s="775">
        <f t="shared" si="13"/>
        <v>100</v>
      </c>
      <c r="V39" s="774" t="s">
        <v>17</v>
      </c>
      <c r="W39" s="775">
        <f t="shared" si="14"/>
        <v>100</v>
      </c>
      <c r="X39" s="1816"/>
      <c r="Y39" s="317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5"/>
      <c r="Q40" s="1813" t="str">
        <f t="shared" si="11"/>
        <v>单套建筑面积</v>
      </c>
      <c r="R40" s="774" t="s">
        <v>17</v>
      </c>
      <c r="S40" s="775">
        <f t="shared" si="12"/>
        <v>100</v>
      </c>
      <c r="T40" s="774" t="s">
        <v>17</v>
      </c>
      <c r="U40" s="775">
        <f t="shared" si="13"/>
        <v>100</v>
      </c>
      <c r="V40" s="774" t="s">
        <v>17</v>
      </c>
      <c r="W40" s="775">
        <f t="shared" si="14"/>
        <v>100</v>
      </c>
      <c r="X40" s="1816"/>
      <c r="Y40" s="317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5"/>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5"/>
      <c r="Q42" s="1813" t="str">
        <f t="shared" si="11"/>
        <v>内部装修</v>
      </c>
      <c r="R42" s="774" t="s">
        <v>17</v>
      </c>
      <c r="S42" s="775">
        <f t="shared" si="12"/>
        <v>100</v>
      </c>
      <c r="T42" s="774" t="s">
        <v>17</v>
      </c>
      <c r="U42" s="775">
        <f t="shared" si="13"/>
        <v>100</v>
      </c>
      <c r="V42" s="774" t="s">
        <v>17</v>
      </c>
      <c r="W42" s="775">
        <f t="shared" si="14"/>
        <v>100</v>
      </c>
      <c r="X42" s="1816"/>
      <c r="Y42" s="3177"/>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5"/>
      <c r="Q43" s="1813" t="str">
        <f t="shared" si="11"/>
        <v>内部装修维护情况</v>
      </c>
      <c r="R43" s="774" t="s">
        <v>17</v>
      </c>
      <c r="S43" s="775">
        <f t="shared" si="12"/>
        <v>100</v>
      </c>
      <c r="T43" s="774" t="s">
        <v>17</v>
      </c>
      <c r="U43" s="775">
        <f t="shared" si="13"/>
        <v>100</v>
      </c>
      <c r="V43" s="774" t="s">
        <v>17</v>
      </c>
      <c r="W43" s="775">
        <f t="shared" si="14"/>
        <v>100</v>
      </c>
      <c r="X43" s="1816"/>
      <c r="Y43" s="317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5"/>
      <c r="Q44" s="1798">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5"/>
      <c r="Q45" s="1813">
        <f t="shared" si="11"/>
        <v>111</v>
      </c>
      <c r="R45" s="774" t="s">
        <v>17</v>
      </c>
      <c r="S45" s="775">
        <f t="shared" si="12"/>
        <v>100</v>
      </c>
      <c r="T45" s="774" t="s">
        <v>17</v>
      </c>
      <c r="U45" s="775">
        <f t="shared" si="13"/>
        <v>100</v>
      </c>
      <c r="V45" s="774" t="s">
        <v>17</v>
      </c>
      <c r="W45" s="775">
        <f t="shared" si="14"/>
        <v>100</v>
      </c>
      <c r="X45" s="1816"/>
      <c r="Y45" s="317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0" t="str">
        <f>A47</f>
        <v>成交单价（元/平方米）</v>
      </c>
      <c r="Q47" s="3170"/>
      <c r="R47" s="3201">
        <f>E47</f>
        <v>0</v>
      </c>
      <c r="S47" s="3201"/>
      <c r="T47" s="3201">
        <f>G47</f>
        <v>0</v>
      </c>
      <c r="U47" s="3201"/>
      <c r="V47" s="3201">
        <f>I47</f>
        <v>0</v>
      </c>
      <c r="W47" s="320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219" t="s">
        <v>2652</v>
      </c>
      <c r="Q4" s="3220"/>
      <c r="R4" s="3223" t="s">
        <v>2648</v>
      </c>
      <c r="S4" s="3224"/>
      <c r="T4" s="3223" t="s">
        <v>2649</v>
      </c>
      <c r="U4" s="3224"/>
      <c r="V4" s="3225" t="s">
        <v>2650</v>
      </c>
      <c r="W4" s="3225"/>
      <c r="X4" s="2677"/>
      <c r="Y4" s="3223" t="s">
        <v>2652</v>
      </c>
      <c r="Z4" s="3224"/>
      <c r="AA4" s="3227" t="s">
        <v>2648</v>
      </c>
      <c r="AB4" s="3227" t="s">
        <v>2649</v>
      </c>
      <c r="AC4" s="3216" t="s">
        <v>2650</v>
      </c>
    </row>
    <row r="5" spans="1:29" ht="15">
      <c r="A5" s="404"/>
      <c r="B5" s="405"/>
      <c r="C5" s="3204" t="s">
        <v>2543</v>
      </c>
      <c r="D5" s="3205"/>
      <c r="E5" s="3211" t="s">
        <v>2544</v>
      </c>
      <c r="F5" s="3212"/>
      <c r="G5" s="3204" t="s">
        <v>2545</v>
      </c>
      <c r="H5" s="3205"/>
      <c r="I5" s="3204" t="s">
        <v>2546</v>
      </c>
      <c r="J5" s="3205"/>
      <c r="K5" s="610"/>
      <c r="L5" s="1133"/>
      <c r="M5" s="1134"/>
      <c r="N5" s="1134"/>
      <c r="O5" s="1134"/>
      <c r="P5" s="3221"/>
      <c r="Q5" s="3192"/>
      <c r="R5" s="3197"/>
      <c r="S5" s="3198"/>
      <c r="T5" s="3197"/>
      <c r="U5" s="3198"/>
      <c r="V5" s="3201"/>
      <c r="W5" s="3201"/>
      <c r="X5" s="1816"/>
      <c r="Y5" s="3197"/>
      <c r="Z5" s="3198"/>
      <c r="AA5" s="3183"/>
      <c r="AB5" s="3183"/>
      <c r="AC5" s="3217"/>
    </row>
    <row r="6" spans="1:29" ht="15.75" thickBot="1">
      <c r="A6" s="406"/>
      <c r="B6" s="407"/>
      <c r="C6" s="3202" t="s">
        <v>2547</v>
      </c>
      <c r="D6" s="3203"/>
      <c r="E6" s="3209" t="s">
        <v>2547</v>
      </c>
      <c r="F6" s="3210"/>
      <c r="G6" s="3202" t="s">
        <v>2547</v>
      </c>
      <c r="H6" s="3203"/>
      <c r="I6" s="3202" t="s">
        <v>2547</v>
      </c>
      <c r="J6" s="3203"/>
      <c r="K6" s="610" t="s">
        <v>2548</v>
      </c>
      <c r="L6" s="1133"/>
      <c r="M6" s="1134"/>
      <c r="N6" s="1134"/>
      <c r="O6" s="1134"/>
      <c r="P6" s="3222"/>
      <c r="Q6" s="3194"/>
      <c r="R6" s="3197"/>
      <c r="S6" s="3198"/>
      <c r="T6" s="3199"/>
      <c r="U6" s="3200"/>
      <c r="V6" s="3201"/>
      <c r="W6" s="3201"/>
      <c r="X6" s="1816"/>
      <c r="Y6" s="3199"/>
      <c r="Z6" s="3200"/>
      <c r="AA6" s="3184"/>
      <c r="AB6" s="3184"/>
      <c r="AC6" s="3218"/>
    </row>
    <row r="7" spans="1:29" s="117" customFormat="1" ht="15.75" thickBot="1">
      <c r="A7" s="408" t="s">
        <v>2549</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6" t="s">
        <v>2550</v>
      </c>
      <c r="Q7" s="3208"/>
      <c r="R7" s="770" t="s">
        <v>17</v>
      </c>
      <c r="S7" s="771">
        <f t="shared" ref="S7:S15" si="0">F7</f>
        <v>0</v>
      </c>
      <c r="T7" s="770" t="s">
        <v>17</v>
      </c>
      <c r="U7" s="771">
        <f t="shared" ref="U7:U15" si="1">H7</f>
        <v>0</v>
      </c>
      <c r="V7" s="770" t="s">
        <v>17</v>
      </c>
      <c r="W7" s="771">
        <f t="shared" ref="W7:W15" si="2">J7</f>
        <v>0</v>
      </c>
      <c r="X7" s="772"/>
      <c r="Y7" s="3206" t="s">
        <v>2550</v>
      </c>
      <c r="Z7" s="3207"/>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6" t="s">
        <v>2553</v>
      </c>
      <c r="Q8" s="3207"/>
      <c r="R8" s="770" t="s">
        <v>17</v>
      </c>
      <c r="S8" s="771">
        <f t="shared" si="0"/>
        <v>0</v>
      </c>
      <c r="T8" s="770" t="s">
        <v>17</v>
      </c>
      <c r="U8" s="771">
        <f t="shared" si="1"/>
        <v>0</v>
      </c>
      <c r="V8" s="770" t="s">
        <v>17</v>
      </c>
      <c r="W8" s="771">
        <f t="shared" si="2"/>
        <v>0</v>
      </c>
      <c r="X8" s="772"/>
      <c r="Y8" s="3206" t="s">
        <v>2553</v>
      </c>
      <c r="Z8" s="3207"/>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9" t="s">
        <v>2561</v>
      </c>
      <c r="Q15" s="1813" t="str">
        <f t="shared" si="6"/>
        <v>办公集聚程度</v>
      </c>
      <c r="R15" s="774" t="s">
        <v>17</v>
      </c>
      <c r="S15" s="775">
        <f t="shared" si="0"/>
        <v>100</v>
      </c>
      <c r="T15" s="774" t="s">
        <v>17</v>
      </c>
      <c r="U15" s="775">
        <f t="shared" si="1"/>
        <v>100</v>
      </c>
      <c r="V15" s="774" t="s">
        <v>17</v>
      </c>
      <c r="W15" s="775">
        <f t="shared" si="2"/>
        <v>100</v>
      </c>
      <c r="X15" s="1816"/>
      <c r="Y15" s="3172"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80"/>
      <c r="Q16" s="1813"/>
      <c r="R16" s="774"/>
      <c r="S16" s="775"/>
      <c r="T16" s="774"/>
      <c r="U16" s="775"/>
      <c r="V16" s="774"/>
      <c r="W16" s="775"/>
      <c r="X16" s="1816"/>
      <c r="Y16" s="3173"/>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0"/>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80"/>
      <c r="Q18" s="1813"/>
      <c r="R18" s="774"/>
      <c r="S18" s="775"/>
      <c r="T18" s="774"/>
      <c r="U18" s="775"/>
      <c r="V18" s="774"/>
      <c r="W18" s="775"/>
      <c r="X18" s="1816"/>
      <c r="Y18" s="3173"/>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0"/>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80"/>
      <c r="Q20" s="1813"/>
      <c r="R20" s="774"/>
      <c r="S20" s="775"/>
      <c r="T20" s="774"/>
      <c r="U20" s="775"/>
      <c r="V20" s="774"/>
      <c r="W20" s="775"/>
      <c r="X20" s="1816"/>
      <c r="Y20" s="3173"/>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0"/>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80"/>
      <c r="Q22" s="1813"/>
      <c r="R22" s="774"/>
      <c r="S22" s="775"/>
      <c r="T22" s="774"/>
      <c r="U22" s="775"/>
      <c r="V22" s="774"/>
      <c r="W22" s="775"/>
      <c r="X22" s="1816"/>
      <c r="Y22" s="3173"/>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0"/>
      <c r="Q23" s="1813" t="str">
        <f>B23</f>
        <v>环境质量</v>
      </c>
      <c r="R23" s="774" t="s">
        <v>17</v>
      </c>
      <c r="S23" s="775">
        <f>F23</f>
        <v>100</v>
      </c>
      <c r="T23" s="774" t="s">
        <v>17</v>
      </c>
      <c r="U23" s="775">
        <f>H23</f>
        <v>100</v>
      </c>
      <c r="V23" s="774" t="s">
        <v>17</v>
      </c>
      <c r="W23" s="775">
        <f>J23</f>
        <v>100</v>
      </c>
      <c r="X23" s="1816"/>
      <c r="Y23" s="317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80"/>
      <c r="Q24" s="1813"/>
      <c r="R24" s="774"/>
      <c r="S24" s="775"/>
      <c r="T24" s="774"/>
      <c r="U24" s="775"/>
      <c r="V24" s="774"/>
      <c r="W24" s="775"/>
      <c r="X24" s="1816"/>
      <c r="Y24" s="3173"/>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80"/>
      <c r="Q25" s="1813" t="str">
        <f>B25</f>
        <v>毗邻道路的类型与等级</v>
      </c>
      <c r="R25" s="774" t="s">
        <v>17</v>
      </c>
      <c r="S25" s="775">
        <f>F25</f>
        <v>100</v>
      </c>
      <c r="T25" s="774" t="s">
        <v>17</v>
      </c>
      <c r="U25" s="775">
        <f>H25</f>
        <v>100</v>
      </c>
      <c r="V25" s="774" t="s">
        <v>17</v>
      </c>
      <c r="W25" s="775">
        <f>J25</f>
        <v>100</v>
      </c>
      <c r="X25" s="1816"/>
      <c r="Y25" s="317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80"/>
      <c r="Q26" s="1813"/>
      <c r="R26" s="774"/>
      <c r="S26" s="775"/>
      <c r="T26" s="774"/>
      <c r="U26" s="775"/>
      <c r="V26" s="774"/>
      <c r="W26" s="775"/>
      <c r="X26" s="1816"/>
      <c r="Y26" s="3173"/>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0"/>
      <c r="Q27" s="1813" t="str">
        <f t="shared" ref="Q27:Q47" si="11">B27</f>
        <v>楼层</v>
      </c>
      <c r="R27" s="774" t="s">
        <v>17</v>
      </c>
      <c r="S27" s="775">
        <f>F27</f>
        <v>100</v>
      </c>
      <c r="T27" s="774" t="s">
        <v>17</v>
      </c>
      <c r="U27" s="775">
        <f>H27</f>
        <v>100</v>
      </c>
      <c r="V27" s="774" t="s">
        <v>17</v>
      </c>
      <c r="W27" s="775">
        <f>J27</f>
        <v>100</v>
      </c>
      <c r="X27" s="1816"/>
      <c r="Y27" s="3173"/>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80"/>
      <c r="Q28" s="1798" t="str">
        <f t="shared" si="11"/>
        <v>朝向</v>
      </c>
      <c r="R28" s="770" t="s">
        <v>17</v>
      </c>
      <c r="S28" s="771">
        <f>F28</f>
        <v>100</v>
      </c>
      <c r="T28" s="770" t="s">
        <v>17</v>
      </c>
      <c r="U28" s="771">
        <f>H28</f>
        <v>100</v>
      </c>
      <c r="V28" s="770" t="s">
        <v>17</v>
      </c>
      <c r="W28" s="771">
        <f>J28</f>
        <v>100</v>
      </c>
      <c r="X28" s="772"/>
      <c r="Y28" s="317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80"/>
      <c r="Q29" s="1813">
        <f t="shared" si="11"/>
        <v>111</v>
      </c>
      <c r="R29" s="774" t="s">
        <v>17</v>
      </c>
      <c r="S29" s="775">
        <f t="shared" ref="S29:S47" si="12">F29</f>
        <v>100</v>
      </c>
      <c r="T29" s="774" t="s">
        <v>17</v>
      </c>
      <c r="U29" s="775">
        <f t="shared" ref="U29:U47" si="13">H29</f>
        <v>100</v>
      </c>
      <c r="V29" s="774" t="s">
        <v>17</v>
      </c>
      <c r="W29" s="775">
        <f t="shared" ref="W29:W47" si="14">J29</f>
        <v>100</v>
      </c>
      <c r="X29" s="1816"/>
      <c r="Y29" s="317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80"/>
      <c r="Q30" s="1813">
        <f t="shared" si="11"/>
        <v>111</v>
      </c>
      <c r="R30" s="774" t="s">
        <v>17</v>
      </c>
      <c r="S30" s="775">
        <f t="shared" si="12"/>
        <v>100</v>
      </c>
      <c r="T30" s="774" t="s">
        <v>17</v>
      </c>
      <c r="U30" s="775">
        <f t="shared" si="13"/>
        <v>100</v>
      </c>
      <c r="V30" s="774" t="s">
        <v>17</v>
      </c>
      <c r="W30" s="775">
        <f t="shared" si="14"/>
        <v>100</v>
      </c>
      <c r="X30" s="1816"/>
      <c r="Y30" s="317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80"/>
      <c r="Q31" s="1813">
        <f t="shared" si="11"/>
        <v>111</v>
      </c>
      <c r="R31" s="774" t="s">
        <v>17</v>
      </c>
      <c r="S31" s="775">
        <f t="shared" si="12"/>
        <v>100</v>
      </c>
      <c r="T31" s="774" t="s">
        <v>17</v>
      </c>
      <c r="U31" s="775">
        <f t="shared" si="13"/>
        <v>100</v>
      </c>
      <c r="V31" s="774" t="s">
        <v>17</v>
      </c>
      <c r="W31" s="775">
        <f t="shared" si="14"/>
        <v>100</v>
      </c>
      <c r="X31" s="1816"/>
      <c r="Y31" s="317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80"/>
      <c r="Q32" s="1813">
        <f t="shared" si="11"/>
        <v>111</v>
      </c>
      <c r="R32" s="774" t="s">
        <v>17</v>
      </c>
      <c r="S32" s="775">
        <f t="shared" si="12"/>
        <v>100</v>
      </c>
      <c r="T32" s="774" t="s">
        <v>17</v>
      </c>
      <c r="U32" s="775">
        <f t="shared" si="13"/>
        <v>100</v>
      </c>
      <c r="V32" s="774" t="s">
        <v>17</v>
      </c>
      <c r="W32" s="775">
        <f t="shared" si="14"/>
        <v>100</v>
      </c>
      <c r="X32" s="1816"/>
      <c r="Y32" s="3173"/>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74" t="s">
        <v>2566</v>
      </c>
      <c r="Q33" s="1813" t="str">
        <f t="shared" si="11"/>
        <v>建筑类型</v>
      </c>
      <c r="R33" s="774" t="s">
        <v>17</v>
      </c>
      <c r="S33" s="775">
        <f t="shared" si="12"/>
        <v>100</v>
      </c>
      <c r="T33" s="774" t="s">
        <v>17</v>
      </c>
      <c r="U33" s="775">
        <f t="shared" si="13"/>
        <v>100</v>
      </c>
      <c r="V33" s="774" t="s">
        <v>17</v>
      </c>
      <c r="W33" s="775">
        <f t="shared" si="14"/>
        <v>100</v>
      </c>
      <c r="X33" s="1816"/>
      <c r="Y33" s="3177"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5"/>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5"/>
      <c r="Q35" s="1813" t="str">
        <f t="shared" si="11"/>
        <v>建筑结构</v>
      </c>
      <c r="R35" s="774" t="s">
        <v>17</v>
      </c>
      <c r="S35" s="775">
        <f t="shared" si="12"/>
        <v>100</v>
      </c>
      <c r="T35" s="774" t="s">
        <v>17</v>
      </c>
      <c r="U35" s="775">
        <f t="shared" si="13"/>
        <v>100</v>
      </c>
      <c r="V35" s="774" t="s">
        <v>17</v>
      </c>
      <c r="W35" s="775">
        <f t="shared" si="14"/>
        <v>100</v>
      </c>
      <c r="X35" s="1816"/>
      <c r="Y35" s="3177"/>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5"/>
      <c r="Q36" s="1813" t="str">
        <f t="shared" si="11"/>
        <v>公共部分装修</v>
      </c>
      <c r="R36" s="774" t="s">
        <v>17</v>
      </c>
      <c r="S36" s="775">
        <f t="shared" si="12"/>
        <v>100</v>
      </c>
      <c r="T36" s="774" t="s">
        <v>17</v>
      </c>
      <c r="U36" s="775">
        <f t="shared" si="13"/>
        <v>100</v>
      </c>
      <c r="V36" s="774" t="s">
        <v>17</v>
      </c>
      <c r="W36" s="775">
        <f t="shared" si="14"/>
        <v>100</v>
      </c>
      <c r="X36" s="1816"/>
      <c r="Y36" s="3177"/>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5"/>
      <c r="Q37" s="1813" t="str">
        <f t="shared" si="11"/>
        <v>成新度</v>
      </c>
      <c r="R37" s="774" t="s">
        <v>17</v>
      </c>
      <c r="S37" s="775" t="e">
        <f t="shared" si="12"/>
        <v>#N/A</v>
      </c>
      <c r="T37" s="774" t="s">
        <v>17</v>
      </c>
      <c r="U37" s="775" t="e">
        <f t="shared" si="13"/>
        <v>#N/A</v>
      </c>
      <c r="V37" s="774" t="s">
        <v>17</v>
      </c>
      <c r="W37" s="775" t="e">
        <f t="shared" si="14"/>
        <v>#N/A</v>
      </c>
      <c r="X37" s="1816"/>
      <c r="Y37" s="3177"/>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5"/>
      <c r="Q38" s="1798"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5" t="s">
        <v>2566</v>
      </c>
      <c r="Q39" s="1813" t="str">
        <f t="shared" si="11"/>
        <v>物业管理</v>
      </c>
      <c r="R39" s="774" t="s">
        <v>17</v>
      </c>
      <c r="S39" s="775">
        <f t="shared" si="12"/>
        <v>100</v>
      </c>
      <c r="T39" s="774" t="s">
        <v>17</v>
      </c>
      <c r="U39" s="775">
        <f t="shared" si="13"/>
        <v>100</v>
      </c>
      <c r="V39" s="774" t="s">
        <v>17</v>
      </c>
      <c r="W39" s="775">
        <f t="shared" si="14"/>
        <v>100</v>
      </c>
      <c r="X39" s="1816"/>
      <c r="Y39" s="3177"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5"/>
      <c r="Q40" s="1813" t="str">
        <f t="shared" si="11"/>
        <v>市政基础设施</v>
      </c>
      <c r="R40" s="774" t="s">
        <v>17</v>
      </c>
      <c r="S40" s="775">
        <f t="shared" si="12"/>
        <v>100</v>
      </c>
      <c r="T40" s="774" t="s">
        <v>17</v>
      </c>
      <c r="U40" s="775">
        <f t="shared" si="13"/>
        <v>100</v>
      </c>
      <c r="V40" s="774" t="s">
        <v>17</v>
      </c>
      <c r="W40" s="775">
        <f t="shared" si="14"/>
        <v>100</v>
      </c>
      <c r="X40" s="1816"/>
      <c r="Y40" s="3177"/>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5"/>
      <c r="Q41" s="1813" t="str">
        <f t="shared" si="11"/>
        <v>层高</v>
      </c>
      <c r="R41" s="774" t="s">
        <v>17</v>
      </c>
      <c r="S41" s="775">
        <f t="shared" si="12"/>
        <v>100</v>
      </c>
      <c r="T41" s="774" t="s">
        <v>17</v>
      </c>
      <c r="U41" s="775">
        <f t="shared" si="13"/>
        <v>100</v>
      </c>
      <c r="V41" s="774" t="s">
        <v>17</v>
      </c>
      <c r="W41" s="775">
        <f t="shared" si="14"/>
        <v>100</v>
      </c>
      <c r="X41" s="1816"/>
      <c r="Y41" s="3177"/>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5"/>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5"/>
      <c r="Q43" s="1813" t="str">
        <f t="shared" si="11"/>
        <v>内部装修</v>
      </c>
      <c r="R43" s="774" t="s">
        <v>17</v>
      </c>
      <c r="S43" s="775">
        <f t="shared" si="12"/>
        <v>100</v>
      </c>
      <c r="T43" s="774" t="s">
        <v>17</v>
      </c>
      <c r="U43" s="775">
        <f t="shared" si="13"/>
        <v>100</v>
      </c>
      <c r="V43" s="774" t="s">
        <v>17</v>
      </c>
      <c r="W43" s="775">
        <f t="shared" si="14"/>
        <v>100</v>
      </c>
      <c r="X43" s="1816"/>
      <c r="Y43" s="3177"/>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5"/>
      <c r="Q44" s="1813" t="str">
        <f t="shared" si="11"/>
        <v>内部装修维护情况</v>
      </c>
      <c r="R44" s="774" t="s">
        <v>17</v>
      </c>
      <c r="S44" s="775">
        <f t="shared" si="12"/>
        <v>100</v>
      </c>
      <c r="T44" s="774" t="s">
        <v>17</v>
      </c>
      <c r="U44" s="775">
        <f t="shared" si="13"/>
        <v>100</v>
      </c>
      <c r="V44" s="774" t="s">
        <v>17</v>
      </c>
      <c r="W44" s="775">
        <f t="shared" si="14"/>
        <v>100</v>
      </c>
      <c r="X44" s="1816"/>
      <c r="Y44" s="317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5"/>
      <c r="Q45" s="1798">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5"/>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6"/>
      <c r="Q47" s="1813">
        <f t="shared" si="11"/>
        <v>111</v>
      </c>
      <c r="R47" s="774" t="s">
        <v>17</v>
      </c>
      <c r="S47" s="775">
        <f t="shared" si="12"/>
        <v>100</v>
      </c>
      <c r="T47" s="774" t="s">
        <v>17</v>
      </c>
      <c r="U47" s="775">
        <f t="shared" si="13"/>
        <v>100</v>
      </c>
      <c r="V47" s="774" t="s">
        <v>17</v>
      </c>
      <c r="W47" s="775">
        <f t="shared" si="14"/>
        <v>100</v>
      </c>
      <c r="X47" s="1816"/>
      <c r="Y47" s="3178"/>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181" t="str">
        <f>A48</f>
        <v>成交单价（元/平方米）</v>
      </c>
      <c r="Q48" s="3170"/>
      <c r="R48" s="3171">
        <f>E48</f>
        <v>0</v>
      </c>
      <c r="S48" s="3171"/>
      <c r="T48" s="3171">
        <f>G48</f>
        <v>0</v>
      </c>
      <c r="U48" s="3171"/>
      <c r="V48" s="3171">
        <f>I48</f>
        <v>0</v>
      </c>
      <c r="W48" s="317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13" t="str">
        <f>A50</f>
        <v>估价对象XX用房的比较价值（楼面单价，元/平方米）</v>
      </c>
      <c r="Q50" s="3214"/>
      <c r="R50" s="3215" t="e">
        <f>IF(F1="售价",ROUND(AVERAGE(R49:V49),0),ROUND(AVERAGE(R49:V49),1))</f>
        <v>#DIV/0!</v>
      </c>
      <c r="S50" s="3215"/>
      <c r="T50" s="3215"/>
      <c r="U50" s="3215"/>
      <c r="V50" s="3215"/>
      <c r="W50" s="321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估价对象为房地产，为所有。根据《国有土地使用证》[]，估价对象（分摊）出让国有建设用地使用权面积为14160.27平方米，建筑面积为7397.61平方米。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估价对象为房地产,属开发建设的，该项目尚在开发建设中。根据《国有土地使用证》[]，估价对象（分摊）出让国有建设用地使用权面积为14160.27平方米，规划建筑面积为7397.61平方米。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7397.6099999999988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183" t="s">
        <v>2649</v>
      </c>
      <c r="AC4" s="3182" t="s">
        <v>2650</v>
      </c>
    </row>
    <row r="5" spans="1:29"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183"/>
      <c r="AC5" s="3183"/>
    </row>
    <row r="6" spans="1:29" ht="15.75" thickBot="1">
      <c r="A6" s="406"/>
      <c r="B6" s="407"/>
      <c r="C6" s="3202" t="s">
        <v>2547</v>
      </c>
      <c r="D6" s="3203"/>
      <c r="E6" s="3209" t="s">
        <v>2547</v>
      </c>
      <c r="F6" s="3210"/>
      <c r="G6" s="3202" t="s">
        <v>2547</v>
      </c>
      <c r="H6" s="3203"/>
      <c r="I6" s="3202" t="s">
        <v>2547</v>
      </c>
      <c r="J6" s="3203"/>
      <c r="K6" s="610" t="s">
        <v>2548</v>
      </c>
      <c r="L6" s="1133"/>
      <c r="M6" s="1134"/>
      <c r="N6" s="1134"/>
      <c r="O6" s="1134"/>
      <c r="P6" s="3193"/>
      <c r="Q6" s="3194"/>
      <c r="R6" s="3197"/>
      <c r="S6" s="3198"/>
      <c r="T6" s="3199"/>
      <c r="U6" s="3200"/>
      <c r="V6" s="3201"/>
      <c r="W6" s="3201"/>
      <c r="X6" s="1816"/>
      <c r="Y6" s="3199"/>
      <c r="Z6" s="3200"/>
      <c r="AA6" s="3184"/>
      <c r="AB6" s="3184"/>
      <c r="AC6" s="3184"/>
    </row>
    <row r="7" spans="1:29" s="117" customFormat="1" ht="15.75" thickBot="1">
      <c r="A7" s="408" t="s">
        <v>2549</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6" t="s">
        <v>2550</v>
      </c>
      <c r="Q7" s="3208"/>
      <c r="R7" s="770" t="s">
        <v>17</v>
      </c>
      <c r="S7" s="771">
        <f t="shared" ref="S7:S15" si="0">F7</f>
        <v>0</v>
      </c>
      <c r="T7" s="770" t="s">
        <v>17</v>
      </c>
      <c r="U7" s="771">
        <f t="shared" ref="U7:U15" si="1">H7</f>
        <v>0</v>
      </c>
      <c r="V7" s="770" t="s">
        <v>17</v>
      </c>
      <c r="W7" s="771">
        <f t="shared" ref="W7:W15" si="2">J7</f>
        <v>0</v>
      </c>
      <c r="X7" s="772"/>
      <c r="Y7" s="3206" t="s">
        <v>2550</v>
      </c>
      <c r="Z7" s="320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2" t="s">
        <v>2561</v>
      </c>
      <c r="Q15" s="1813" t="str">
        <f t="shared" si="6"/>
        <v>产业集聚程度</v>
      </c>
      <c r="R15" s="774" t="s">
        <v>17</v>
      </c>
      <c r="S15" s="775">
        <f t="shared" si="0"/>
        <v>100</v>
      </c>
      <c r="T15" s="774" t="s">
        <v>17</v>
      </c>
      <c r="U15" s="775">
        <f t="shared" si="1"/>
        <v>100</v>
      </c>
      <c r="V15" s="774" t="s">
        <v>17</v>
      </c>
      <c r="W15" s="775">
        <f t="shared" si="2"/>
        <v>100</v>
      </c>
      <c r="X15" s="1816"/>
      <c r="Y15" s="3172"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3"/>
      <c r="Q16" s="1813"/>
      <c r="R16" s="774"/>
      <c r="S16" s="775"/>
      <c r="T16" s="774"/>
      <c r="U16" s="775"/>
      <c r="V16" s="774"/>
      <c r="W16" s="775"/>
      <c r="X16" s="1816"/>
      <c r="Y16" s="3173"/>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3"/>
      <c r="Q18" s="1813"/>
      <c r="R18" s="774"/>
      <c r="S18" s="775"/>
      <c r="T18" s="774"/>
      <c r="U18" s="775"/>
      <c r="V18" s="774"/>
      <c r="W18" s="775"/>
      <c r="X18" s="1816"/>
      <c r="Y18" s="3173"/>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3"/>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3"/>
      <c r="Q20" s="1813"/>
      <c r="R20" s="774"/>
      <c r="S20" s="775"/>
      <c r="T20" s="774"/>
      <c r="U20" s="775"/>
      <c r="V20" s="774"/>
      <c r="W20" s="775"/>
      <c r="X20" s="1816"/>
      <c r="Y20" s="3173"/>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3"/>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3"/>
      <c r="Q22" s="1813"/>
      <c r="R22" s="774"/>
      <c r="S22" s="775"/>
      <c r="T22" s="774"/>
      <c r="U22" s="775"/>
      <c r="V22" s="774"/>
      <c r="W22" s="775"/>
      <c r="X22" s="1816"/>
      <c r="Y22" s="3173"/>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3"/>
      <c r="Q23" s="1813" t="str">
        <f>B23</f>
        <v>环境质量</v>
      </c>
      <c r="R23" s="774" t="s">
        <v>17</v>
      </c>
      <c r="S23" s="775">
        <f>F23</f>
        <v>100</v>
      </c>
      <c r="T23" s="774" t="s">
        <v>17</v>
      </c>
      <c r="U23" s="775">
        <f>H23</f>
        <v>100</v>
      </c>
      <c r="V23" s="774" t="s">
        <v>17</v>
      </c>
      <c r="W23" s="775">
        <f>J23</f>
        <v>100</v>
      </c>
      <c r="X23" s="1816"/>
      <c r="Y23" s="317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3"/>
      <c r="Q24" s="1813"/>
      <c r="R24" s="774"/>
      <c r="S24" s="775"/>
      <c r="T24" s="774"/>
      <c r="U24" s="775"/>
      <c r="V24" s="774"/>
      <c r="W24" s="775"/>
      <c r="X24" s="1816"/>
      <c r="Y24" s="317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3"/>
      <c r="Q25" s="1813">
        <f>B25</f>
        <v>111</v>
      </c>
      <c r="R25" s="774" t="s">
        <v>17</v>
      </c>
      <c r="S25" s="775">
        <f>F25</f>
        <v>100</v>
      </c>
      <c r="T25" s="774" t="s">
        <v>17</v>
      </c>
      <c r="U25" s="775">
        <f>H25</f>
        <v>100</v>
      </c>
      <c r="V25" s="774" t="s">
        <v>17</v>
      </c>
      <c r="W25" s="775">
        <f>J25</f>
        <v>100</v>
      </c>
      <c r="X25" s="1816"/>
      <c r="Y25" s="317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3"/>
      <c r="Q26" s="1813">
        <f t="shared" ref="Q26:Q40" si="11">B26</f>
        <v>111</v>
      </c>
      <c r="R26" s="774" t="s">
        <v>17</v>
      </c>
      <c r="S26" s="775">
        <f>F26</f>
        <v>100</v>
      </c>
      <c r="T26" s="774" t="s">
        <v>17</v>
      </c>
      <c r="U26" s="775">
        <f>H26</f>
        <v>100</v>
      </c>
      <c r="V26" s="774" t="s">
        <v>17</v>
      </c>
      <c r="W26" s="775">
        <f>J26</f>
        <v>100</v>
      </c>
      <c r="X26" s="1816"/>
      <c r="Y26" s="317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3"/>
      <c r="Q27" s="1798">
        <f t="shared" si="11"/>
        <v>111</v>
      </c>
      <c r="R27" s="770" t="s">
        <v>17</v>
      </c>
      <c r="S27" s="771">
        <f>F27</f>
        <v>100</v>
      </c>
      <c r="T27" s="770" t="s">
        <v>17</v>
      </c>
      <c r="U27" s="771">
        <f>H27</f>
        <v>100</v>
      </c>
      <c r="V27" s="770" t="s">
        <v>17</v>
      </c>
      <c r="W27" s="771">
        <f>J27</f>
        <v>100</v>
      </c>
      <c r="X27" s="772"/>
      <c r="Y27" s="317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3"/>
      <c r="Q28" s="1813">
        <f t="shared" si="11"/>
        <v>111</v>
      </c>
      <c r="R28" s="774" t="s">
        <v>17</v>
      </c>
      <c r="S28" s="775">
        <f t="shared" ref="S28:S40" si="12">F28</f>
        <v>100</v>
      </c>
      <c r="T28" s="774" t="s">
        <v>17</v>
      </c>
      <c r="U28" s="775">
        <f t="shared" ref="U28:U40" si="13">H28</f>
        <v>100</v>
      </c>
      <c r="V28" s="774" t="s">
        <v>17</v>
      </c>
      <c r="W28" s="775">
        <f t="shared" ref="W28:W40" si="14">J28</f>
        <v>100</v>
      </c>
      <c r="X28" s="1816"/>
      <c r="Y28" s="3173"/>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8" t="s">
        <v>2566</v>
      </c>
      <c r="Q29" s="1813" t="str">
        <f t="shared" si="11"/>
        <v>建筑类型</v>
      </c>
      <c r="R29" s="774" t="s">
        <v>17</v>
      </c>
      <c r="S29" s="775">
        <f t="shared" si="12"/>
        <v>100</v>
      </c>
      <c r="T29" s="774" t="s">
        <v>17</v>
      </c>
      <c r="U29" s="775">
        <f t="shared" si="13"/>
        <v>100</v>
      </c>
      <c r="V29" s="774" t="s">
        <v>17</v>
      </c>
      <c r="W29" s="775">
        <f t="shared" si="14"/>
        <v>100</v>
      </c>
      <c r="X29" s="1816"/>
      <c r="Y29" s="317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7"/>
      <c r="Q31" s="1813" t="str">
        <f t="shared" si="11"/>
        <v>建筑结构</v>
      </c>
      <c r="R31" s="774" t="s">
        <v>17</v>
      </c>
      <c r="S31" s="775">
        <f t="shared" si="12"/>
        <v>100</v>
      </c>
      <c r="T31" s="774" t="s">
        <v>17</v>
      </c>
      <c r="U31" s="775">
        <f t="shared" si="13"/>
        <v>100</v>
      </c>
      <c r="V31" s="774" t="s">
        <v>17</v>
      </c>
      <c r="W31" s="775">
        <f t="shared" si="14"/>
        <v>100</v>
      </c>
      <c r="X31" s="1816"/>
      <c r="Y31" s="317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7"/>
      <c r="Q32" s="1813" t="str">
        <f t="shared" si="11"/>
        <v>公共部分装修</v>
      </c>
      <c r="R32" s="774" t="s">
        <v>17</v>
      </c>
      <c r="S32" s="775">
        <f t="shared" si="12"/>
        <v>100</v>
      </c>
      <c r="T32" s="774" t="s">
        <v>17</v>
      </c>
      <c r="U32" s="775">
        <f t="shared" si="13"/>
        <v>100</v>
      </c>
      <c r="V32" s="774" t="s">
        <v>17</v>
      </c>
      <c r="W32" s="775">
        <f t="shared" si="14"/>
        <v>100</v>
      </c>
      <c r="X32" s="1816"/>
      <c r="Y32" s="317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7"/>
      <c r="Q33" s="1813" t="str">
        <f t="shared" si="11"/>
        <v>成新度</v>
      </c>
      <c r="R33" s="774" t="s">
        <v>17</v>
      </c>
      <c r="S33" s="775" t="e">
        <f t="shared" si="12"/>
        <v>#N/A</v>
      </c>
      <c r="T33" s="774" t="s">
        <v>17</v>
      </c>
      <c r="U33" s="775" t="e">
        <f t="shared" si="13"/>
        <v>#N/A</v>
      </c>
      <c r="V33" s="774" t="s">
        <v>17</v>
      </c>
      <c r="W33" s="775" t="e">
        <f t="shared" si="14"/>
        <v>#N/A</v>
      </c>
      <c r="X33" s="1816"/>
      <c r="Y33" s="317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7"/>
      <c r="Q34" s="1798"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7" t="s">
        <v>2566</v>
      </c>
      <c r="Q35" s="1813" t="str">
        <f t="shared" si="11"/>
        <v>市政基础设施</v>
      </c>
      <c r="R35" s="774" t="s">
        <v>17</v>
      </c>
      <c r="S35" s="775">
        <f t="shared" si="12"/>
        <v>100</v>
      </c>
      <c r="T35" s="774" t="s">
        <v>17</v>
      </c>
      <c r="U35" s="775">
        <f t="shared" si="13"/>
        <v>100</v>
      </c>
      <c r="V35" s="774" t="s">
        <v>17</v>
      </c>
      <c r="W35" s="775">
        <f t="shared" si="14"/>
        <v>100</v>
      </c>
      <c r="X35" s="1816"/>
      <c r="Y35" s="317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7"/>
      <c r="Q36" s="1813" t="str">
        <f t="shared" si="11"/>
        <v>内部装修</v>
      </c>
      <c r="R36" s="774" t="s">
        <v>17</v>
      </c>
      <c r="S36" s="775">
        <f t="shared" si="12"/>
        <v>100</v>
      </c>
      <c r="T36" s="774" t="s">
        <v>17</v>
      </c>
      <c r="U36" s="775">
        <f t="shared" si="13"/>
        <v>100</v>
      </c>
      <c r="V36" s="774" t="s">
        <v>17</v>
      </c>
      <c r="W36" s="775">
        <f t="shared" si="14"/>
        <v>100</v>
      </c>
      <c r="X36" s="1816"/>
      <c r="Y36" s="317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7"/>
      <c r="Q37" s="1813" t="str">
        <f t="shared" si="11"/>
        <v>内部装修状况</v>
      </c>
      <c r="R37" s="774" t="s">
        <v>17</v>
      </c>
      <c r="S37" s="775">
        <f t="shared" si="12"/>
        <v>100</v>
      </c>
      <c r="T37" s="774" t="s">
        <v>17</v>
      </c>
      <c r="U37" s="775">
        <f t="shared" si="13"/>
        <v>100</v>
      </c>
      <c r="V37" s="774" t="s">
        <v>17</v>
      </c>
      <c r="W37" s="775">
        <f t="shared" si="14"/>
        <v>100</v>
      </c>
      <c r="X37" s="1816"/>
      <c r="Y37" s="31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7"/>
      <c r="Q39" s="1813">
        <f t="shared" si="11"/>
        <v>111</v>
      </c>
      <c r="R39" s="774" t="s">
        <v>17</v>
      </c>
      <c r="S39" s="775">
        <f t="shared" si="12"/>
        <v>100</v>
      </c>
      <c r="T39" s="774" t="s">
        <v>17</v>
      </c>
      <c r="U39" s="775">
        <f t="shared" si="13"/>
        <v>100</v>
      </c>
      <c r="V39" s="774" t="s">
        <v>17</v>
      </c>
      <c r="W39" s="775">
        <f t="shared" si="14"/>
        <v>100</v>
      </c>
      <c r="X39" s="1816"/>
      <c r="Y39" s="317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8"/>
      <c r="Q40" s="1813">
        <f t="shared" si="11"/>
        <v>111</v>
      </c>
      <c r="R40" s="774" t="s">
        <v>17</v>
      </c>
      <c r="S40" s="775">
        <f t="shared" si="12"/>
        <v>100</v>
      </c>
      <c r="T40" s="774" t="s">
        <v>17</v>
      </c>
      <c r="U40" s="775">
        <f t="shared" si="13"/>
        <v>100</v>
      </c>
      <c r="V40" s="774" t="s">
        <v>17</v>
      </c>
      <c r="W40" s="775">
        <f t="shared" si="14"/>
        <v>100</v>
      </c>
      <c r="X40" s="1816"/>
      <c r="Y40" s="3178"/>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67" t="str">
        <f>A43</f>
        <v>估价对象XX用房的比较价值（楼面单价，元/平方米）</v>
      </c>
      <c r="Q43" s="3168"/>
      <c r="R43" s="3169" t="e">
        <f>IF(F1="售价",ROUND(AVERAGE(R42:V42),0),ROUND(AVERAGE(R42:V42),1))</f>
        <v>#DIV/0!</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183" t="s">
        <v>2649</v>
      </c>
      <c r="AC4" s="3182" t="s">
        <v>2650</v>
      </c>
    </row>
    <row r="5" spans="1:29"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183"/>
      <c r="AC5" s="3183"/>
    </row>
    <row r="6" spans="1:29" ht="15.75" thickBot="1">
      <c r="A6" s="406"/>
      <c r="B6" s="407"/>
      <c r="C6" s="3202" t="s">
        <v>2547</v>
      </c>
      <c r="D6" s="3203"/>
      <c r="E6" s="3209" t="s">
        <v>2547</v>
      </c>
      <c r="F6" s="3210"/>
      <c r="G6" s="3202" t="s">
        <v>2547</v>
      </c>
      <c r="H6" s="3203"/>
      <c r="I6" s="3202" t="s">
        <v>2547</v>
      </c>
      <c r="J6" s="3203"/>
      <c r="K6" s="610" t="s">
        <v>2548</v>
      </c>
      <c r="L6" s="1133"/>
      <c r="M6" s="1134"/>
      <c r="N6" s="1134"/>
      <c r="O6" s="1134"/>
      <c r="P6" s="3193"/>
      <c r="Q6" s="3194"/>
      <c r="R6" s="3197"/>
      <c r="S6" s="3198"/>
      <c r="T6" s="3199"/>
      <c r="U6" s="3200"/>
      <c r="V6" s="3201"/>
      <c r="W6" s="3201"/>
      <c r="X6" s="1816"/>
      <c r="Y6" s="3199"/>
      <c r="Z6" s="3200"/>
      <c r="AA6" s="3184"/>
      <c r="AB6" s="3184"/>
      <c r="AC6" s="3184"/>
    </row>
    <row r="7" spans="1:29" s="117" customFormat="1" ht="15.75" thickBot="1">
      <c r="A7" s="408" t="s">
        <v>2549</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6" t="s">
        <v>2550</v>
      </c>
      <c r="Q7" s="3208"/>
      <c r="R7" s="770" t="s">
        <v>17</v>
      </c>
      <c r="S7" s="771">
        <f t="shared" ref="S7:S14" si="0">F7</f>
        <v>0</v>
      </c>
      <c r="T7" s="770" t="s">
        <v>17</v>
      </c>
      <c r="U7" s="771">
        <f t="shared" ref="U7:U14" si="1">H7</f>
        <v>0</v>
      </c>
      <c r="V7" s="770" t="s">
        <v>17</v>
      </c>
      <c r="W7" s="771">
        <f t="shared" ref="W7:W14" si="2">J7</f>
        <v>0</v>
      </c>
      <c r="X7" s="772"/>
      <c r="Y7" s="3206" t="s">
        <v>2550</v>
      </c>
      <c r="Z7" s="320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2" t="s">
        <v>2561</v>
      </c>
      <c r="Q14" s="1813" t="str">
        <f t="shared" si="6"/>
        <v>交通便捷度</v>
      </c>
      <c r="R14" s="774" t="s">
        <v>17</v>
      </c>
      <c r="S14" s="775">
        <f t="shared" si="0"/>
        <v>100</v>
      </c>
      <c r="T14" s="774" t="s">
        <v>17</v>
      </c>
      <c r="U14" s="775">
        <f t="shared" si="1"/>
        <v>100</v>
      </c>
      <c r="V14" s="774" t="s">
        <v>17</v>
      </c>
      <c r="W14" s="775">
        <f t="shared" si="2"/>
        <v>100</v>
      </c>
      <c r="X14" s="1816"/>
      <c r="Y14" s="3172"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3"/>
      <c r="Q15" s="1813"/>
      <c r="R15" s="774"/>
      <c r="S15" s="775"/>
      <c r="T15" s="774"/>
      <c r="U15" s="775"/>
      <c r="V15" s="774"/>
      <c r="W15" s="775"/>
      <c r="X15" s="1816"/>
      <c r="Y15" s="3173"/>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3"/>
      <c r="Q16" s="1813" t="str">
        <f>B16</f>
        <v>公共配套设施</v>
      </c>
      <c r="R16" s="774" t="s">
        <v>17</v>
      </c>
      <c r="S16" s="775">
        <f>F16</f>
        <v>100</v>
      </c>
      <c r="T16" s="774" t="s">
        <v>17</v>
      </c>
      <c r="U16" s="775">
        <f>H16</f>
        <v>100</v>
      </c>
      <c r="V16" s="774" t="s">
        <v>17</v>
      </c>
      <c r="W16" s="775">
        <f>J16</f>
        <v>100</v>
      </c>
      <c r="X16" s="1816"/>
      <c r="Y16" s="317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3"/>
      <c r="Q17" s="1813"/>
      <c r="R17" s="774"/>
      <c r="S17" s="775"/>
      <c r="T17" s="774"/>
      <c r="U17" s="775"/>
      <c r="V17" s="774"/>
      <c r="W17" s="775"/>
      <c r="X17" s="1816"/>
      <c r="Y17" s="3173"/>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3"/>
      <c r="Q18" s="1813" t="str">
        <f>B18</f>
        <v>基础设施水平</v>
      </c>
      <c r="R18" s="774" t="s">
        <v>17</v>
      </c>
      <c r="S18" s="775">
        <f>F18</f>
        <v>100</v>
      </c>
      <c r="T18" s="774" t="s">
        <v>17</v>
      </c>
      <c r="U18" s="775">
        <f>H18</f>
        <v>100</v>
      </c>
      <c r="V18" s="774" t="s">
        <v>17</v>
      </c>
      <c r="W18" s="775">
        <f>J18</f>
        <v>100</v>
      </c>
      <c r="X18" s="1816"/>
      <c r="Y18" s="317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3"/>
      <c r="Q19" s="1813"/>
      <c r="R19" s="774"/>
      <c r="S19" s="775"/>
      <c r="T19" s="774"/>
      <c r="U19" s="775"/>
      <c r="V19" s="774"/>
      <c r="W19" s="775"/>
      <c r="X19" s="1816"/>
      <c r="Y19" s="3173"/>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3"/>
      <c r="Q20" s="1813" t="str">
        <f>B20</f>
        <v>自然及人文环境</v>
      </c>
      <c r="R20" s="774" t="s">
        <v>17</v>
      </c>
      <c r="S20" s="775">
        <f>F20</f>
        <v>100</v>
      </c>
      <c r="T20" s="774" t="s">
        <v>17</v>
      </c>
      <c r="U20" s="775">
        <f>H20</f>
        <v>100</v>
      </c>
      <c r="V20" s="774" t="s">
        <v>17</v>
      </c>
      <c r="W20" s="775">
        <f>J20</f>
        <v>100</v>
      </c>
      <c r="X20" s="1816"/>
      <c r="Y20" s="317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3"/>
      <c r="Q21" s="1813"/>
      <c r="R21" s="774"/>
      <c r="S21" s="775"/>
      <c r="T21" s="774"/>
      <c r="U21" s="775"/>
      <c r="V21" s="774"/>
      <c r="W21" s="775"/>
      <c r="X21" s="1816"/>
      <c r="Y21" s="3173"/>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3"/>
      <c r="Q22" s="1813" t="str">
        <f>B22</f>
        <v>楼层</v>
      </c>
      <c r="R22" s="774" t="s">
        <v>17</v>
      </c>
      <c r="S22" s="775">
        <f>F22</f>
        <v>100</v>
      </c>
      <c r="T22" s="774" t="s">
        <v>17</v>
      </c>
      <c r="U22" s="775">
        <f>H22</f>
        <v>100</v>
      </c>
      <c r="V22" s="774" t="s">
        <v>17</v>
      </c>
      <c r="W22" s="775">
        <f>J22</f>
        <v>100</v>
      </c>
      <c r="X22" s="1816"/>
      <c r="Y22" s="317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3"/>
      <c r="Q23" s="1813">
        <f>B23</f>
        <v>111</v>
      </c>
      <c r="R23" s="774" t="s">
        <v>17</v>
      </c>
      <c r="S23" s="775">
        <f>F23</f>
        <v>100</v>
      </c>
      <c r="T23" s="774" t="s">
        <v>17</v>
      </c>
      <c r="U23" s="775">
        <f>H23</f>
        <v>100</v>
      </c>
      <c r="V23" s="774" t="s">
        <v>17</v>
      </c>
      <c r="W23" s="775">
        <f>J23</f>
        <v>100</v>
      </c>
      <c r="X23" s="1816"/>
      <c r="Y23" s="317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3"/>
      <c r="Q24" s="1813">
        <f t="shared" ref="Q24:Q36" si="11">B24</f>
        <v>111</v>
      </c>
      <c r="R24" s="774" t="s">
        <v>17</v>
      </c>
      <c r="S24" s="775">
        <f>F24</f>
        <v>100</v>
      </c>
      <c r="T24" s="774" t="s">
        <v>17</v>
      </c>
      <c r="U24" s="775">
        <f>H24</f>
        <v>100</v>
      </c>
      <c r="V24" s="774" t="s">
        <v>17</v>
      </c>
      <c r="W24" s="775">
        <f>J24</f>
        <v>100</v>
      </c>
      <c r="X24" s="1816"/>
      <c r="Y24" s="317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3"/>
      <c r="Q25" s="1798">
        <f t="shared" si="11"/>
        <v>111</v>
      </c>
      <c r="R25" s="770" t="s">
        <v>17</v>
      </c>
      <c r="S25" s="771">
        <f>F25</f>
        <v>100</v>
      </c>
      <c r="T25" s="770" t="s">
        <v>17</v>
      </c>
      <c r="U25" s="771">
        <f>H25</f>
        <v>100</v>
      </c>
      <c r="V25" s="770" t="s">
        <v>17</v>
      </c>
      <c r="W25" s="771">
        <f>J25</f>
        <v>100</v>
      </c>
      <c r="X25" s="772"/>
      <c r="Y25" s="3173"/>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7"/>
      <c r="Q28" s="1813" t="str">
        <f t="shared" si="11"/>
        <v>公共部分装修</v>
      </c>
      <c r="R28" s="774" t="s">
        <v>17</v>
      </c>
      <c r="S28" s="775">
        <f t="shared" si="12"/>
        <v>100</v>
      </c>
      <c r="T28" s="774" t="s">
        <v>17</v>
      </c>
      <c r="U28" s="775">
        <f t="shared" si="13"/>
        <v>100</v>
      </c>
      <c r="V28" s="774" t="s">
        <v>17</v>
      </c>
      <c r="W28" s="775">
        <f t="shared" si="14"/>
        <v>100</v>
      </c>
      <c r="X28" s="1816"/>
      <c r="Y28" s="3177"/>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7"/>
      <c r="Q29" s="1813" t="str">
        <f t="shared" si="11"/>
        <v>成新率</v>
      </c>
      <c r="R29" s="774" t="s">
        <v>17</v>
      </c>
      <c r="S29" s="775" t="e">
        <f t="shared" si="12"/>
        <v>#N/A</v>
      </c>
      <c r="T29" s="774" t="s">
        <v>17</v>
      </c>
      <c r="U29" s="775" t="e">
        <f t="shared" si="13"/>
        <v>#N/A</v>
      </c>
      <c r="V29" s="774" t="s">
        <v>17</v>
      </c>
      <c r="W29" s="775" t="e">
        <f t="shared" si="14"/>
        <v>#N/A</v>
      </c>
      <c r="X29" s="1816"/>
      <c r="Y29" s="3177"/>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7"/>
      <c r="Q30" s="1813" t="str">
        <f t="shared" si="11"/>
        <v>物业等级</v>
      </c>
      <c r="R30" s="774" t="s">
        <v>17</v>
      </c>
      <c r="S30" s="775">
        <f t="shared" si="12"/>
        <v>100</v>
      </c>
      <c r="T30" s="774" t="s">
        <v>17</v>
      </c>
      <c r="U30" s="775">
        <f t="shared" si="13"/>
        <v>100</v>
      </c>
      <c r="V30" s="774" t="s">
        <v>17</v>
      </c>
      <c r="W30" s="775">
        <f t="shared" si="14"/>
        <v>100</v>
      </c>
      <c r="X30" s="1816"/>
      <c r="Y30" s="3177"/>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7"/>
      <c r="Q31" s="1798"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7" t="s">
        <v>2566</v>
      </c>
      <c r="Q32" s="1813" t="str">
        <f t="shared" si="11"/>
        <v>车位类型</v>
      </c>
      <c r="R32" s="774" t="s">
        <v>17</v>
      </c>
      <c r="S32" s="775">
        <f t="shared" si="12"/>
        <v>100</v>
      </c>
      <c r="T32" s="774" t="s">
        <v>17</v>
      </c>
      <c r="U32" s="775">
        <f t="shared" si="13"/>
        <v>100</v>
      </c>
      <c r="V32" s="774" t="s">
        <v>17</v>
      </c>
      <c r="W32" s="775">
        <f t="shared" si="14"/>
        <v>100</v>
      </c>
      <c r="X32" s="1816"/>
      <c r="Y32" s="317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7"/>
      <c r="Q33" s="1813" t="str">
        <f t="shared" si="11"/>
        <v>是否直接入户</v>
      </c>
      <c r="R33" s="774" t="s">
        <v>17</v>
      </c>
      <c r="S33" s="775">
        <f t="shared" si="12"/>
        <v>100</v>
      </c>
      <c r="T33" s="774" t="s">
        <v>17</v>
      </c>
      <c r="U33" s="775">
        <f t="shared" si="13"/>
        <v>100</v>
      </c>
      <c r="V33" s="774" t="s">
        <v>17</v>
      </c>
      <c r="W33" s="775">
        <f t="shared" si="14"/>
        <v>100</v>
      </c>
      <c r="X33" s="1816"/>
      <c r="Y33" s="31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7"/>
      <c r="Q36" s="1813">
        <f t="shared" si="11"/>
        <v>111</v>
      </c>
      <c r="R36" s="774" t="s">
        <v>17</v>
      </c>
      <c r="S36" s="775">
        <f t="shared" si="12"/>
        <v>100</v>
      </c>
      <c r="T36" s="774" t="s">
        <v>17</v>
      </c>
      <c r="U36" s="775">
        <f t="shared" si="13"/>
        <v>100</v>
      </c>
      <c r="V36" s="774" t="s">
        <v>17</v>
      </c>
      <c r="W36" s="775">
        <f t="shared" si="14"/>
        <v>100</v>
      </c>
      <c r="X36" s="1816"/>
      <c r="Y36" s="3177"/>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70" t="str">
        <f>A37</f>
        <v>成交单价</v>
      </c>
      <c r="Q37" s="3170"/>
      <c r="R37" s="3171">
        <f>E37</f>
        <v>0</v>
      </c>
      <c r="S37" s="3171"/>
      <c r="T37" s="3171">
        <f>G37</f>
        <v>0</v>
      </c>
      <c r="U37" s="3171"/>
      <c r="V37" s="3171">
        <f>I37</f>
        <v>0</v>
      </c>
      <c r="W37" s="317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183" t="s">
        <v>2649</v>
      </c>
      <c r="AC4" s="3182" t="s">
        <v>2650</v>
      </c>
    </row>
    <row r="5" spans="1:29"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183"/>
      <c r="AC5" s="3183"/>
    </row>
    <row r="6" spans="1:29" ht="15.75" thickBot="1">
      <c r="A6" s="406"/>
      <c r="B6" s="407"/>
      <c r="C6" s="3202" t="s">
        <v>2547</v>
      </c>
      <c r="D6" s="3203"/>
      <c r="E6" s="3209" t="s">
        <v>2547</v>
      </c>
      <c r="F6" s="3210"/>
      <c r="G6" s="3202" t="s">
        <v>2547</v>
      </c>
      <c r="H6" s="3203"/>
      <c r="I6" s="3202" t="s">
        <v>2547</v>
      </c>
      <c r="J6" s="3203"/>
      <c r="K6" s="610" t="s">
        <v>2548</v>
      </c>
      <c r="L6" s="1133"/>
      <c r="M6" s="1134"/>
      <c r="N6" s="1134"/>
      <c r="O6" s="1134"/>
      <c r="P6" s="3193"/>
      <c r="Q6" s="3194"/>
      <c r="R6" s="3197"/>
      <c r="S6" s="3198"/>
      <c r="T6" s="3199"/>
      <c r="U6" s="3200"/>
      <c r="V6" s="3201"/>
      <c r="W6" s="3201"/>
      <c r="X6" s="1816"/>
      <c r="Y6" s="3199"/>
      <c r="Z6" s="3200"/>
      <c r="AA6" s="3184"/>
      <c r="AB6" s="3184"/>
      <c r="AC6" s="3184"/>
    </row>
    <row r="7" spans="1:29" s="117" customFormat="1" ht="15.75" thickBot="1">
      <c r="A7" s="408" t="s">
        <v>2549</v>
      </c>
      <c r="B7" s="409"/>
      <c r="C7" s="410">
        <f>'数据-取费表'!B2</f>
        <v>43598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6" t="s">
        <v>2550</v>
      </c>
      <c r="Q7" s="3208"/>
      <c r="R7" s="770" t="s">
        <v>17</v>
      </c>
      <c r="S7" s="771">
        <f t="shared" ref="S7:S14" si="0">F7</f>
        <v>0</v>
      </c>
      <c r="T7" s="770" t="s">
        <v>17</v>
      </c>
      <c r="U7" s="771">
        <f t="shared" ref="U7:U14" si="1">H7</f>
        <v>0</v>
      </c>
      <c r="V7" s="770" t="s">
        <v>17</v>
      </c>
      <c r="W7" s="771">
        <f t="shared" ref="W7:W14" si="2">J7</f>
        <v>0</v>
      </c>
      <c r="X7" s="772"/>
      <c r="Y7" s="3206" t="s">
        <v>2550</v>
      </c>
      <c r="Z7" s="320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2" t="s">
        <v>2561</v>
      </c>
      <c r="Q14" s="1813" t="str">
        <f t="shared" si="6"/>
        <v>交通便捷度</v>
      </c>
      <c r="R14" s="774" t="s">
        <v>17</v>
      </c>
      <c r="S14" s="775">
        <f t="shared" si="0"/>
        <v>100</v>
      </c>
      <c r="T14" s="774" t="s">
        <v>17</v>
      </c>
      <c r="U14" s="775">
        <f t="shared" si="1"/>
        <v>100</v>
      </c>
      <c r="V14" s="774" t="s">
        <v>17</v>
      </c>
      <c r="W14" s="775">
        <f t="shared" si="2"/>
        <v>100</v>
      </c>
      <c r="X14" s="1816"/>
      <c r="Y14" s="3172"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3"/>
      <c r="Q15" s="1813"/>
      <c r="R15" s="774"/>
      <c r="S15" s="775"/>
      <c r="T15" s="774"/>
      <c r="U15" s="775"/>
      <c r="V15" s="774"/>
      <c r="W15" s="775"/>
      <c r="X15" s="1816"/>
      <c r="Y15" s="3173"/>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3"/>
      <c r="Q16" s="1813" t="str">
        <f>B16</f>
        <v>公共配套设施</v>
      </c>
      <c r="R16" s="774" t="s">
        <v>17</v>
      </c>
      <c r="S16" s="775">
        <f>F16</f>
        <v>100</v>
      </c>
      <c r="T16" s="774" t="s">
        <v>17</v>
      </c>
      <c r="U16" s="775">
        <f>H16</f>
        <v>100</v>
      </c>
      <c r="V16" s="774" t="s">
        <v>17</v>
      </c>
      <c r="W16" s="775">
        <f>J16</f>
        <v>100</v>
      </c>
      <c r="X16" s="1816"/>
      <c r="Y16" s="317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3"/>
      <c r="Q17" s="1813"/>
      <c r="R17" s="774"/>
      <c r="S17" s="775"/>
      <c r="T17" s="774"/>
      <c r="U17" s="775"/>
      <c r="V17" s="774"/>
      <c r="W17" s="775"/>
      <c r="X17" s="1816"/>
      <c r="Y17" s="3173"/>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3"/>
      <c r="Q18" s="1813" t="str">
        <f>B18</f>
        <v>基础设施水平</v>
      </c>
      <c r="R18" s="774" t="s">
        <v>17</v>
      </c>
      <c r="S18" s="775">
        <f>F18</f>
        <v>100</v>
      </c>
      <c r="T18" s="774" t="s">
        <v>17</v>
      </c>
      <c r="U18" s="775">
        <f>H18</f>
        <v>100</v>
      </c>
      <c r="V18" s="774" t="s">
        <v>17</v>
      </c>
      <c r="W18" s="775">
        <f>J18</f>
        <v>100</v>
      </c>
      <c r="X18" s="1816"/>
      <c r="Y18" s="317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3"/>
      <c r="Q19" s="1813"/>
      <c r="R19" s="774"/>
      <c r="S19" s="775"/>
      <c r="T19" s="774"/>
      <c r="U19" s="775"/>
      <c r="V19" s="774"/>
      <c r="W19" s="775"/>
      <c r="X19" s="1816"/>
      <c r="Y19" s="3173"/>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3"/>
      <c r="Q20" s="1813" t="str">
        <f>B20</f>
        <v>自然及人文环境</v>
      </c>
      <c r="R20" s="774" t="s">
        <v>17</v>
      </c>
      <c r="S20" s="775">
        <f>F20</f>
        <v>100</v>
      </c>
      <c r="T20" s="774" t="s">
        <v>17</v>
      </c>
      <c r="U20" s="775">
        <f>H20</f>
        <v>100</v>
      </c>
      <c r="V20" s="774" t="s">
        <v>17</v>
      </c>
      <c r="W20" s="775">
        <f>J20</f>
        <v>100</v>
      </c>
      <c r="X20" s="1816"/>
      <c r="Y20" s="317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3"/>
      <c r="Q21" s="1813"/>
      <c r="R21" s="774"/>
      <c r="S21" s="775"/>
      <c r="T21" s="774"/>
      <c r="U21" s="775"/>
      <c r="V21" s="774"/>
      <c r="W21" s="775"/>
      <c r="X21" s="1816"/>
      <c r="Y21" s="3173"/>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3"/>
      <c r="Q22" s="1813" t="str">
        <f>B22</f>
        <v>楼层</v>
      </c>
      <c r="R22" s="774" t="s">
        <v>17</v>
      </c>
      <c r="S22" s="775">
        <f>F22</f>
        <v>100</v>
      </c>
      <c r="T22" s="774" t="s">
        <v>17</v>
      </c>
      <c r="U22" s="775">
        <f>H22</f>
        <v>100</v>
      </c>
      <c r="V22" s="774" t="s">
        <v>17</v>
      </c>
      <c r="W22" s="775">
        <f>J22</f>
        <v>100</v>
      </c>
      <c r="X22" s="1816"/>
      <c r="Y22" s="317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3"/>
      <c r="Q23" s="1813">
        <f>B23</f>
        <v>111</v>
      </c>
      <c r="R23" s="774" t="s">
        <v>17</v>
      </c>
      <c r="S23" s="775">
        <f>F23</f>
        <v>100</v>
      </c>
      <c r="T23" s="774" t="s">
        <v>17</v>
      </c>
      <c r="U23" s="775">
        <f>H23</f>
        <v>100</v>
      </c>
      <c r="V23" s="774" t="s">
        <v>17</v>
      </c>
      <c r="W23" s="775">
        <f>J23</f>
        <v>100</v>
      </c>
      <c r="X23" s="1816"/>
      <c r="Y23" s="317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3"/>
      <c r="Q24" s="1813">
        <f t="shared" ref="Q24:Q34" si="11">B24</f>
        <v>111</v>
      </c>
      <c r="R24" s="774" t="s">
        <v>17</v>
      </c>
      <c r="S24" s="775">
        <f>F24</f>
        <v>100</v>
      </c>
      <c r="T24" s="774" t="s">
        <v>17</v>
      </c>
      <c r="U24" s="775">
        <f>H24</f>
        <v>100</v>
      </c>
      <c r="V24" s="774" t="s">
        <v>17</v>
      </c>
      <c r="W24" s="775">
        <f>J24</f>
        <v>100</v>
      </c>
      <c r="X24" s="1816"/>
      <c r="Y24" s="317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3"/>
      <c r="Q25" s="1798">
        <f t="shared" si="11"/>
        <v>111</v>
      </c>
      <c r="R25" s="770" t="s">
        <v>17</v>
      </c>
      <c r="S25" s="771">
        <f>F25</f>
        <v>100</v>
      </c>
      <c r="T25" s="770" t="s">
        <v>17</v>
      </c>
      <c r="U25" s="771">
        <f>H25</f>
        <v>100</v>
      </c>
      <c r="V25" s="770" t="s">
        <v>17</v>
      </c>
      <c r="W25" s="771">
        <f>J25</f>
        <v>100</v>
      </c>
      <c r="X25" s="772"/>
      <c r="Y25" s="3173"/>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7"/>
      <c r="Q28" s="1813" t="str">
        <f t="shared" si="11"/>
        <v>物业等级</v>
      </c>
      <c r="R28" s="774" t="s">
        <v>17</v>
      </c>
      <c r="S28" s="775">
        <f t="shared" si="12"/>
        <v>100</v>
      </c>
      <c r="T28" s="774" t="s">
        <v>17</v>
      </c>
      <c r="U28" s="775">
        <f t="shared" si="13"/>
        <v>100</v>
      </c>
      <c r="V28" s="774" t="s">
        <v>17</v>
      </c>
      <c r="W28" s="775">
        <f t="shared" si="14"/>
        <v>100</v>
      </c>
      <c r="X28" s="1816"/>
      <c r="Y28" s="317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7"/>
      <c r="Q29" s="1813" t="str">
        <f t="shared" si="11"/>
        <v>有无电梯</v>
      </c>
      <c r="R29" s="774" t="s">
        <v>17</v>
      </c>
      <c r="S29" s="775">
        <f t="shared" si="12"/>
        <v>100</v>
      </c>
      <c r="T29" s="774" t="s">
        <v>17</v>
      </c>
      <c r="U29" s="775">
        <f t="shared" si="13"/>
        <v>100</v>
      </c>
      <c r="V29" s="774" t="s">
        <v>17</v>
      </c>
      <c r="W29" s="775">
        <f t="shared" si="14"/>
        <v>100</v>
      </c>
      <c r="X29" s="1816"/>
      <c r="Y29" s="317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7"/>
      <c r="Q30" s="1813" t="str">
        <f t="shared" si="11"/>
        <v>建筑面积</v>
      </c>
      <c r="R30" s="774" t="s">
        <v>17</v>
      </c>
      <c r="S30" s="775" t="e">
        <f t="shared" si="12"/>
        <v>#N/A</v>
      </c>
      <c r="T30" s="774" t="s">
        <v>17</v>
      </c>
      <c r="U30" s="775" t="e">
        <f t="shared" si="13"/>
        <v>#N/A</v>
      </c>
      <c r="V30" s="774" t="s">
        <v>17</v>
      </c>
      <c r="W30" s="775" t="e">
        <f t="shared" si="14"/>
        <v>#N/A</v>
      </c>
      <c r="X30" s="1816"/>
      <c r="Y30" s="317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7"/>
      <c r="Q31" s="1798"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7" t="s">
        <v>2566</v>
      </c>
      <c r="Q32" s="1813">
        <f t="shared" si="11"/>
        <v>111</v>
      </c>
      <c r="R32" s="774" t="s">
        <v>17</v>
      </c>
      <c r="S32" s="775">
        <f t="shared" si="12"/>
        <v>100</v>
      </c>
      <c r="T32" s="774" t="s">
        <v>17</v>
      </c>
      <c r="U32" s="775">
        <f t="shared" si="13"/>
        <v>100</v>
      </c>
      <c r="V32" s="774" t="s">
        <v>17</v>
      </c>
      <c r="W32" s="775">
        <f t="shared" si="14"/>
        <v>100</v>
      </c>
      <c r="X32" s="1816"/>
      <c r="Y32" s="3177"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7"/>
      <c r="Q33" s="1813">
        <f t="shared" si="11"/>
        <v>111</v>
      </c>
      <c r="R33" s="774" t="s">
        <v>17</v>
      </c>
      <c r="S33" s="775">
        <f t="shared" si="12"/>
        <v>100</v>
      </c>
      <c r="T33" s="774" t="s">
        <v>17</v>
      </c>
      <c r="U33" s="775">
        <f t="shared" si="13"/>
        <v>100</v>
      </c>
      <c r="V33" s="774" t="s">
        <v>17</v>
      </c>
      <c r="W33" s="775">
        <f t="shared" si="14"/>
        <v>100</v>
      </c>
      <c r="X33" s="1816"/>
      <c r="Y33" s="317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E7" sqref="E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183" t="s">
        <v>2649</v>
      </c>
      <c r="AC4" s="3182" t="s">
        <v>2650</v>
      </c>
    </row>
    <row r="5" spans="1:30"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183"/>
      <c r="AC5" s="3183"/>
    </row>
    <row r="6" spans="1:30" ht="15.75" thickBot="1">
      <c r="A6" s="406"/>
      <c r="B6" s="407"/>
      <c r="C6" s="3202" t="s">
        <v>2547</v>
      </c>
      <c r="D6" s="3203"/>
      <c r="E6" s="3209" t="s">
        <v>2547</v>
      </c>
      <c r="F6" s="3210"/>
      <c r="G6" s="3202" t="s">
        <v>2547</v>
      </c>
      <c r="H6" s="3203"/>
      <c r="I6" s="3202" t="s">
        <v>2547</v>
      </c>
      <c r="J6" s="3203"/>
      <c r="K6" s="610" t="s">
        <v>2548</v>
      </c>
      <c r="L6" s="1133"/>
      <c r="M6" s="1134"/>
      <c r="N6" s="1134"/>
      <c r="O6" s="1134"/>
      <c r="P6" s="3193"/>
      <c r="Q6" s="3194"/>
      <c r="R6" s="3197"/>
      <c r="S6" s="3198"/>
      <c r="T6" s="3199"/>
      <c r="U6" s="3200"/>
      <c r="V6" s="3201"/>
      <c r="W6" s="3201"/>
      <c r="X6" s="1816"/>
      <c r="Y6" s="3199"/>
      <c r="Z6" s="3200"/>
      <c r="AA6" s="3184"/>
      <c r="AB6" s="3184"/>
      <c r="AC6" s="3184"/>
    </row>
    <row r="7" spans="1:30" s="117" customFormat="1" ht="15.75" thickBot="1">
      <c r="A7" s="408" t="s">
        <v>2549</v>
      </c>
      <c r="B7" s="409"/>
      <c r="C7" s="410">
        <f>'数据-取费表'!B2</f>
        <v>43598</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6" t="s">
        <v>2550</v>
      </c>
      <c r="Q7" s="3208"/>
      <c r="R7" s="770" t="s">
        <v>17</v>
      </c>
      <c r="S7" s="771">
        <f t="shared" ref="S7:S15" si="0">F7</f>
        <v>0</v>
      </c>
      <c r="T7" s="770" t="s">
        <v>17</v>
      </c>
      <c r="U7" s="771">
        <f t="shared" ref="U7:U15" si="1">H7</f>
        <v>0</v>
      </c>
      <c r="V7" s="770" t="s">
        <v>17</v>
      </c>
      <c r="W7" s="771">
        <f t="shared" ref="W7:W15" si="2">J7</f>
        <v>0</v>
      </c>
      <c r="X7" s="772"/>
      <c r="Y7" s="3206" t="s">
        <v>2550</v>
      </c>
      <c r="Z7" s="320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7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70"/>
      <c r="Q10" s="1798" t="str">
        <f t="shared" si="6"/>
        <v>土地使用年限（年）</v>
      </c>
      <c r="R10" s="770" t="s">
        <v>17</v>
      </c>
      <c r="S10" s="771">
        <f t="shared" si="0"/>
        <v>105</v>
      </c>
      <c r="T10" s="770" t="s">
        <v>17</v>
      </c>
      <c r="U10" s="771">
        <f t="shared" si="1"/>
        <v>105</v>
      </c>
      <c r="V10" s="770" t="s">
        <v>17</v>
      </c>
      <c r="W10" s="771">
        <f t="shared" si="2"/>
        <v>105</v>
      </c>
      <c r="X10" s="772"/>
      <c r="Y10" s="2995"/>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2" t="s">
        <v>2561</v>
      </c>
      <c r="Q15" s="1813" t="str">
        <f t="shared" si="6"/>
        <v>居住社区成熟度</v>
      </c>
      <c r="R15" s="774" t="s">
        <v>17</v>
      </c>
      <c r="S15" s="775">
        <f t="shared" si="0"/>
        <v>100</v>
      </c>
      <c r="T15" s="774" t="s">
        <v>17</v>
      </c>
      <c r="U15" s="775">
        <f t="shared" si="1"/>
        <v>100</v>
      </c>
      <c r="V15" s="774" t="s">
        <v>17</v>
      </c>
      <c r="W15" s="775">
        <f t="shared" si="2"/>
        <v>100</v>
      </c>
      <c r="X15" s="1816"/>
      <c r="Y15" s="3172"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3"/>
      <c r="Q16" s="1813"/>
      <c r="R16" s="774"/>
      <c r="S16" s="775"/>
      <c r="T16" s="774"/>
      <c r="U16" s="775"/>
      <c r="V16" s="774"/>
      <c r="W16" s="775"/>
      <c r="X16" s="1816"/>
      <c r="Y16" s="3173"/>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3"/>
      <c r="Q17" s="1813" t="str">
        <f>B17</f>
        <v>商业繁华度</v>
      </c>
      <c r="R17" s="774" t="s">
        <v>17</v>
      </c>
      <c r="S17" s="775">
        <f>F17</f>
        <v>100</v>
      </c>
      <c r="T17" s="774" t="s">
        <v>17</v>
      </c>
      <c r="U17" s="775">
        <f>H17</f>
        <v>100</v>
      </c>
      <c r="V17" s="774" t="s">
        <v>17</v>
      </c>
      <c r="W17" s="775">
        <f>J17</f>
        <v>100</v>
      </c>
      <c r="X17" s="1816"/>
      <c r="Y17" s="317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3"/>
      <c r="Q18" s="1813"/>
      <c r="R18" s="774"/>
      <c r="S18" s="775"/>
      <c r="T18" s="774"/>
      <c r="U18" s="775"/>
      <c r="V18" s="774"/>
      <c r="W18" s="775"/>
      <c r="X18" s="1816"/>
      <c r="Y18" s="3173"/>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3"/>
      <c r="Q19" s="1813" t="str">
        <f>B19</f>
        <v>办公集聚程度</v>
      </c>
      <c r="R19" s="774" t="s">
        <v>17</v>
      </c>
      <c r="S19" s="775">
        <f>F19</f>
        <v>100</v>
      </c>
      <c r="T19" s="774" t="s">
        <v>17</v>
      </c>
      <c r="U19" s="775">
        <f>H19</f>
        <v>100</v>
      </c>
      <c r="V19" s="774" t="s">
        <v>17</v>
      </c>
      <c r="W19" s="775">
        <f>J19</f>
        <v>100</v>
      </c>
      <c r="X19" s="1816"/>
      <c r="Y19" s="317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3"/>
      <c r="Q20" s="1813"/>
      <c r="R20" s="774"/>
      <c r="S20" s="775"/>
      <c r="T20" s="774"/>
      <c r="U20" s="775"/>
      <c r="V20" s="774"/>
      <c r="W20" s="775"/>
      <c r="X20" s="1816"/>
      <c r="Y20" s="3173"/>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3"/>
      <c r="Q21" s="1813" t="str">
        <f>B21</f>
        <v>交通便捷度</v>
      </c>
      <c r="R21" s="774" t="s">
        <v>17</v>
      </c>
      <c r="S21" s="775">
        <f>F21</f>
        <v>100</v>
      </c>
      <c r="T21" s="774" t="s">
        <v>17</v>
      </c>
      <c r="U21" s="775">
        <f>H21</f>
        <v>100</v>
      </c>
      <c r="V21" s="774" t="s">
        <v>17</v>
      </c>
      <c r="W21" s="775">
        <f>J21</f>
        <v>100</v>
      </c>
      <c r="X21" s="1816"/>
      <c r="Y21" s="317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3"/>
      <c r="Q22" s="1813"/>
      <c r="R22" s="774"/>
      <c r="S22" s="775"/>
      <c r="T22" s="774"/>
      <c r="U22" s="775"/>
      <c r="V22" s="774"/>
      <c r="W22" s="775"/>
      <c r="X22" s="1816"/>
      <c r="Y22" s="3173"/>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3"/>
      <c r="Q23" s="1813" t="str">
        <f t="shared" ref="Q23:Q37" si="8">B23</f>
        <v>区域土地利用方向</v>
      </c>
      <c r="R23" s="774" t="s">
        <v>17</v>
      </c>
      <c r="S23" s="775">
        <f>F23</f>
        <v>100</v>
      </c>
      <c r="T23" s="774" t="s">
        <v>17</v>
      </c>
      <c r="U23" s="775">
        <f>H23</f>
        <v>100</v>
      </c>
      <c r="V23" s="774" t="s">
        <v>17</v>
      </c>
      <c r="W23" s="775">
        <f>J23</f>
        <v>100</v>
      </c>
      <c r="X23" s="1816"/>
      <c r="Y23" s="317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3"/>
      <c r="Q24" s="1813"/>
      <c r="R24" s="774"/>
      <c r="S24" s="775"/>
      <c r="T24" s="774"/>
      <c r="U24" s="775"/>
      <c r="V24" s="774"/>
      <c r="W24" s="775"/>
      <c r="X24" s="1816"/>
      <c r="Y24" s="3173"/>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3"/>
      <c r="Q25" s="1813" t="str">
        <f t="shared" si="8"/>
        <v>自然及人文环境状况</v>
      </c>
      <c r="R25" s="774" t="s">
        <v>17</v>
      </c>
      <c r="S25" s="775">
        <f>F25</f>
        <v>100</v>
      </c>
      <c r="T25" s="774" t="s">
        <v>17</v>
      </c>
      <c r="U25" s="775">
        <f>H25</f>
        <v>100</v>
      </c>
      <c r="V25" s="774" t="s">
        <v>17</v>
      </c>
      <c r="W25" s="775">
        <f>J25</f>
        <v>100</v>
      </c>
      <c r="X25" s="1816"/>
      <c r="Y25" s="317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3"/>
      <c r="Q26" s="1813"/>
      <c r="R26" s="774"/>
      <c r="S26" s="775"/>
      <c r="T26" s="774"/>
      <c r="U26" s="775"/>
      <c r="V26" s="774"/>
      <c r="W26" s="775"/>
      <c r="X26" s="1816"/>
      <c r="Y26" s="3173"/>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3"/>
      <c r="Q27" s="1798" t="str">
        <f t="shared" si="8"/>
        <v>公共配套设施</v>
      </c>
      <c r="R27" s="770" t="s">
        <v>17</v>
      </c>
      <c r="S27" s="771">
        <f>F27</f>
        <v>100</v>
      </c>
      <c r="T27" s="770" t="s">
        <v>17</v>
      </c>
      <c r="U27" s="771">
        <f>H27</f>
        <v>100</v>
      </c>
      <c r="V27" s="770" t="s">
        <v>17</v>
      </c>
      <c r="W27" s="771">
        <f>J27</f>
        <v>100</v>
      </c>
      <c r="X27" s="772"/>
      <c r="Y27" s="317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3"/>
      <c r="Q28" s="1798"/>
      <c r="R28" s="770"/>
      <c r="S28" s="771"/>
      <c r="T28" s="770"/>
      <c r="U28" s="771"/>
      <c r="V28" s="770"/>
      <c r="W28" s="771"/>
      <c r="X28" s="772"/>
      <c r="Y28" s="3173"/>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3"/>
      <c r="Q29" s="1798"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3"/>
      <c r="Q30" s="1798"/>
      <c r="R30" s="770"/>
      <c r="S30" s="771"/>
      <c r="T30" s="770"/>
      <c r="U30" s="771"/>
      <c r="V30" s="770"/>
      <c r="W30" s="771"/>
      <c r="X30" s="772"/>
      <c r="Y30" s="3173"/>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3"/>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3"/>
      <c r="Q32" s="1813" t="str">
        <f t="shared" si="8"/>
        <v>毗邻道路的类型与等级</v>
      </c>
      <c r="R32" s="774" t="s">
        <v>17</v>
      </c>
      <c r="S32" s="775">
        <f t="shared" si="10"/>
        <v>100</v>
      </c>
      <c r="T32" s="774" t="s">
        <v>17</v>
      </c>
      <c r="U32" s="775">
        <f t="shared" si="11"/>
        <v>100</v>
      </c>
      <c r="V32" s="774" t="s">
        <v>17</v>
      </c>
      <c r="W32" s="775">
        <f t="shared" si="12"/>
        <v>100</v>
      </c>
      <c r="X32" s="1816"/>
      <c r="Y32" s="317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3"/>
      <c r="Q33" s="1813"/>
      <c r="R33" s="774"/>
      <c r="S33" s="775"/>
      <c r="T33" s="774"/>
      <c r="U33" s="775"/>
      <c r="V33" s="774"/>
      <c r="W33" s="775"/>
      <c r="X33" s="1816"/>
      <c r="Y33" s="317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3"/>
      <c r="Q34" s="1813" t="str">
        <f t="shared" si="8"/>
        <v>土地级别</v>
      </c>
      <c r="R34" s="774" t="s">
        <v>17</v>
      </c>
      <c r="S34" s="775">
        <f t="shared" si="10"/>
        <v>100</v>
      </c>
      <c r="T34" s="774" t="s">
        <v>17</v>
      </c>
      <c r="U34" s="775">
        <f t="shared" si="11"/>
        <v>100</v>
      </c>
      <c r="V34" s="774" t="s">
        <v>17</v>
      </c>
      <c r="W34" s="775">
        <f t="shared" si="12"/>
        <v>100</v>
      </c>
      <c r="X34" s="1816"/>
      <c r="Y34" s="317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3"/>
      <c r="Q35" s="1813">
        <f t="shared" si="8"/>
        <v>111</v>
      </c>
      <c r="R35" s="774" t="s">
        <v>17</v>
      </c>
      <c r="S35" s="775">
        <f t="shared" si="10"/>
        <v>100</v>
      </c>
      <c r="T35" s="774" t="s">
        <v>17</v>
      </c>
      <c r="U35" s="775">
        <f t="shared" si="11"/>
        <v>100</v>
      </c>
      <c r="V35" s="774" t="s">
        <v>17</v>
      </c>
      <c r="W35" s="775">
        <f t="shared" si="12"/>
        <v>100</v>
      </c>
      <c r="X35" s="1816"/>
      <c r="Y35" s="317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2566</v>
      </c>
      <c r="Q36" s="1813">
        <f t="shared" si="8"/>
        <v>111</v>
      </c>
      <c r="R36" s="774" t="s">
        <v>17</v>
      </c>
      <c r="S36" s="775">
        <f t="shared" si="10"/>
        <v>100</v>
      </c>
      <c r="T36" s="774" t="s">
        <v>17</v>
      </c>
      <c r="U36" s="775">
        <f t="shared" si="11"/>
        <v>100</v>
      </c>
      <c r="V36" s="774" t="s">
        <v>17</v>
      </c>
      <c r="W36" s="775">
        <f t="shared" si="12"/>
        <v>100</v>
      </c>
      <c r="X36" s="1816"/>
      <c r="Y36" s="317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7"/>
      <c r="Q37" s="1813">
        <f t="shared" si="8"/>
        <v>111</v>
      </c>
      <c r="R37" s="777" t="s">
        <v>17</v>
      </c>
      <c r="S37" s="778">
        <f t="shared" si="10"/>
        <v>100</v>
      </c>
      <c r="T37" s="777" t="s">
        <v>17</v>
      </c>
      <c r="U37" s="778">
        <f t="shared" si="11"/>
        <v>100</v>
      </c>
      <c r="V37" s="777" t="s">
        <v>17</v>
      </c>
      <c r="W37" s="778">
        <f t="shared" si="12"/>
        <v>100</v>
      </c>
      <c r="X37" s="779"/>
      <c r="Y37" s="3177"/>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7"/>
      <c r="Q38" s="1813" t="str">
        <f>B38</f>
        <v>宗地面积</v>
      </c>
      <c r="R38" s="774" t="s">
        <v>17</v>
      </c>
      <c r="S38" s="775" t="e">
        <f t="shared" si="10"/>
        <v>#N/A</v>
      </c>
      <c r="T38" s="774" t="s">
        <v>17</v>
      </c>
      <c r="U38" s="775" t="e">
        <f t="shared" si="11"/>
        <v>#N/A</v>
      </c>
      <c r="V38" s="774" t="s">
        <v>17</v>
      </c>
      <c r="W38" s="775" t="e">
        <f t="shared" si="12"/>
        <v>#N/A</v>
      </c>
      <c r="X38" s="1816"/>
      <c r="Y38" s="3177"/>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7"/>
      <c r="Q39" s="1813" t="str">
        <f t="shared" ref="Q39:Q45" si="14">B39</f>
        <v>宗地形状</v>
      </c>
      <c r="R39" s="774" t="s">
        <v>17</v>
      </c>
      <c r="S39" s="775">
        <f t="shared" si="10"/>
        <v>100</v>
      </c>
      <c r="T39" s="774" t="s">
        <v>17</v>
      </c>
      <c r="U39" s="775">
        <f t="shared" si="11"/>
        <v>100</v>
      </c>
      <c r="V39" s="774" t="s">
        <v>17</v>
      </c>
      <c r="W39" s="775">
        <f t="shared" si="12"/>
        <v>100</v>
      </c>
      <c r="X39" s="1816"/>
      <c r="Y39" s="3177"/>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7"/>
      <c r="Q40" s="1813" t="str">
        <f t="shared" si="14"/>
        <v>临街宽度及深度</v>
      </c>
      <c r="R40" s="774" t="s">
        <v>17</v>
      </c>
      <c r="S40" s="775">
        <f t="shared" si="10"/>
        <v>100</v>
      </c>
      <c r="T40" s="774" t="s">
        <v>17</v>
      </c>
      <c r="U40" s="775">
        <f t="shared" si="11"/>
        <v>100</v>
      </c>
      <c r="V40" s="774" t="s">
        <v>17</v>
      </c>
      <c r="W40" s="775">
        <f t="shared" si="12"/>
        <v>100</v>
      </c>
      <c r="X40" s="1816"/>
      <c r="Y40" s="3177"/>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7"/>
      <c r="Q41" s="1813"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7" t="s">
        <v>2566</v>
      </c>
      <c r="Q42" s="1813" t="str">
        <f t="shared" si="14"/>
        <v>工程地质条件</v>
      </c>
      <c r="R42" s="774" t="s">
        <v>17</v>
      </c>
      <c r="S42" s="775">
        <f t="shared" si="10"/>
        <v>100</v>
      </c>
      <c r="T42" s="774" t="s">
        <v>17</v>
      </c>
      <c r="U42" s="775">
        <f t="shared" si="11"/>
        <v>100</v>
      </c>
      <c r="V42" s="774" t="s">
        <v>17</v>
      </c>
      <c r="W42" s="775">
        <f t="shared" si="12"/>
        <v>100</v>
      </c>
      <c r="X42" s="1816"/>
      <c r="Y42" s="317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7"/>
      <c r="Q43" s="1813">
        <f t="shared" si="14"/>
        <v>111</v>
      </c>
      <c r="R43" s="774" t="s">
        <v>17</v>
      </c>
      <c r="S43" s="775">
        <f t="shared" si="10"/>
        <v>100</v>
      </c>
      <c r="T43" s="774" t="s">
        <v>17</v>
      </c>
      <c r="U43" s="775">
        <f t="shared" si="11"/>
        <v>100</v>
      </c>
      <c r="V43" s="774" t="s">
        <v>17</v>
      </c>
      <c r="W43" s="775">
        <f t="shared" si="12"/>
        <v>100</v>
      </c>
      <c r="X43" s="1816"/>
      <c r="Y43" s="317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7"/>
      <c r="Q44" s="1813">
        <f t="shared" si="14"/>
        <v>111</v>
      </c>
      <c r="R44" s="774" t="s">
        <v>17</v>
      </c>
      <c r="S44" s="775">
        <f t="shared" si="10"/>
        <v>100</v>
      </c>
      <c r="T44" s="774" t="s">
        <v>17</v>
      </c>
      <c r="U44" s="775">
        <f t="shared" si="11"/>
        <v>100</v>
      </c>
      <c r="V44" s="774" t="s">
        <v>17</v>
      </c>
      <c r="W44" s="775">
        <f t="shared" si="12"/>
        <v>100</v>
      </c>
      <c r="X44" s="1816"/>
      <c r="Y44" s="317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7"/>
      <c r="Q45" s="1813">
        <f t="shared" si="14"/>
        <v>111</v>
      </c>
      <c r="R45" s="777" t="s">
        <v>17</v>
      </c>
      <c r="S45" s="778">
        <f t="shared" si="10"/>
        <v>100</v>
      </c>
      <c r="T45" s="777" t="s">
        <v>17</v>
      </c>
      <c r="U45" s="778">
        <f t="shared" si="11"/>
        <v>100</v>
      </c>
      <c r="V45" s="777" t="s">
        <v>17</v>
      </c>
      <c r="W45" s="778">
        <f t="shared" si="12"/>
        <v>100</v>
      </c>
      <c r="X45" s="779"/>
      <c r="Y45" s="3177"/>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70" t="str">
        <f>A46</f>
        <v>成交单价</v>
      </c>
      <c r="Q46" s="3170"/>
      <c r="R46" s="3201">
        <f>E46</f>
        <v>0</v>
      </c>
      <c r="S46" s="3201"/>
      <c r="T46" s="3201">
        <f>G46</f>
        <v>0</v>
      </c>
      <c r="U46" s="3201"/>
      <c r="V46" s="3201">
        <f>I46</f>
        <v>0</v>
      </c>
      <c r="W46" s="320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0" t="str">
        <f>A47</f>
        <v>比较价值（元/平方米）</v>
      </c>
      <c r="Q47" s="3170"/>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67" t="str">
        <f>A48</f>
        <v>估价对象XX用房的比较价值（楼面单价，元/平方米）</v>
      </c>
      <c r="Q48" s="3168"/>
      <c r="R48" s="3230" t="e">
        <f>ROUND(AVERAGE(R47:V47),0)</f>
        <v>#DIV/0!</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185" t="s">
        <v>2765</v>
      </c>
      <c r="H55" s="323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7397.6099999999988</v>
      </c>
      <c r="F56" s="1106" t="e">
        <f t="shared" ref="F56:F65" si="15">ROUND(B56*E56/10000,0)</f>
        <v>#DIV/0!</v>
      </c>
      <c r="G56" s="3181"/>
      <c r="H56" s="3170"/>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7397.6099999999988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95" t="s">
        <v>2648</v>
      </c>
      <c r="S4" s="3196"/>
      <c r="T4" s="3195" t="s">
        <v>2649</v>
      </c>
      <c r="U4" s="3196"/>
      <c r="V4" s="3201" t="s">
        <v>2650</v>
      </c>
      <c r="W4" s="3201"/>
      <c r="X4" s="1816"/>
      <c r="Y4" s="3195" t="s">
        <v>2652</v>
      </c>
      <c r="Z4" s="3196"/>
      <c r="AA4" s="3182" t="s">
        <v>2648</v>
      </c>
      <c r="AB4" s="3183" t="s">
        <v>2649</v>
      </c>
      <c r="AC4" s="3182" t="s">
        <v>2650</v>
      </c>
    </row>
    <row r="5" spans="1:29" ht="15">
      <c r="A5" s="404"/>
      <c r="B5" s="405"/>
      <c r="C5" s="3204" t="s">
        <v>2543</v>
      </c>
      <c r="D5" s="3205"/>
      <c r="E5" s="3211" t="s">
        <v>2544</v>
      </c>
      <c r="F5" s="3212"/>
      <c r="G5" s="3204" t="s">
        <v>2545</v>
      </c>
      <c r="H5" s="3205"/>
      <c r="I5" s="3204" t="s">
        <v>2546</v>
      </c>
      <c r="J5" s="3205"/>
      <c r="K5" s="610"/>
      <c r="L5" s="1133"/>
      <c r="M5" s="1134"/>
      <c r="N5" s="1134"/>
      <c r="O5" s="1134"/>
      <c r="P5" s="3191"/>
      <c r="Q5" s="3192"/>
      <c r="R5" s="3197"/>
      <c r="S5" s="3198"/>
      <c r="T5" s="3197"/>
      <c r="U5" s="3198"/>
      <c r="V5" s="3201"/>
      <c r="W5" s="3201"/>
      <c r="X5" s="1816"/>
      <c r="Y5" s="3197"/>
      <c r="Z5" s="3198"/>
      <c r="AA5" s="3183"/>
      <c r="AB5" s="3183"/>
      <c r="AC5" s="3183"/>
    </row>
    <row r="6" spans="1:29" ht="15.75" thickBot="1">
      <c r="A6" s="406"/>
      <c r="B6" s="407"/>
      <c r="C6" s="3233" t="s">
        <v>2798</v>
      </c>
      <c r="D6" s="3234"/>
      <c r="E6" s="3235" t="s">
        <v>2798</v>
      </c>
      <c r="F6" s="3236"/>
      <c r="G6" s="3233" t="s">
        <v>2798</v>
      </c>
      <c r="H6" s="3234"/>
      <c r="I6" s="3233" t="s">
        <v>2798</v>
      </c>
      <c r="J6" s="3234"/>
      <c r="K6" s="610" t="s">
        <v>2548</v>
      </c>
      <c r="L6" s="1133"/>
      <c r="M6" s="1134"/>
      <c r="N6" s="1134"/>
      <c r="O6" s="1134"/>
      <c r="P6" s="3193"/>
      <c r="Q6" s="3194"/>
      <c r="R6" s="3197"/>
      <c r="S6" s="3198"/>
      <c r="T6" s="3199"/>
      <c r="U6" s="3200"/>
      <c r="V6" s="3201"/>
      <c r="W6" s="3201"/>
      <c r="X6" s="1816"/>
      <c r="Y6" s="3199"/>
      <c r="Z6" s="3200"/>
      <c r="AA6" s="3184"/>
      <c r="AB6" s="3184"/>
      <c r="AC6" s="3184"/>
    </row>
    <row r="7" spans="1:29" s="117" customFormat="1" ht="15.75" thickBot="1">
      <c r="A7" s="408" t="s">
        <v>2549</v>
      </c>
      <c r="B7" s="409"/>
      <c r="C7" s="410">
        <f>'数据-取费表'!B2</f>
        <v>43598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6" t="s">
        <v>2550</v>
      </c>
      <c r="Q7" s="3208"/>
      <c r="R7" s="770" t="s">
        <v>17</v>
      </c>
      <c r="S7" s="771">
        <f t="shared" ref="S7:S15" si="0">F7</f>
        <v>0</v>
      </c>
      <c r="T7" s="770" t="s">
        <v>17</v>
      </c>
      <c r="U7" s="771">
        <f t="shared" ref="U7:U15" si="1">H7</f>
        <v>0</v>
      </c>
      <c r="V7" s="770" t="s">
        <v>17</v>
      </c>
      <c r="W7" s="771">
        <f t="shared" ref="W7:W15" si="2">J7</f>
        <v>0</v>
      </c>
      <c r="X7" s="772"/>
      <c r="Y7" s="3206" t="s">
        <v>2550</v>
      </c>
      <c r="Z7" s="320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6" t="s">
        <v>2553</v>
      </c>
      <c r="Q8" s="3207"/>
      <c r="R8" s="770" t="s">
        <v>17</v>
      </c>
      <c r="S8" s="771">
        <f t="shared" si="0"/>
        <v>0</v>
      </c>
      <c r="T8" s="770" t="s">
        <v>17</v>
      </c>
      <c r="U8" s="771">
        <f t="shared" si="1"/>
        <v>0</v>
      </c>
      <c r="V8" s="770" t="s">
        <v>17</v>
      </c>
      <c r="W8" s="771">
        <f t="shared" si="2"/>
        <v>0</v>
      </c>
      <c r="X8" s="772"/>
      <c r="Y8" s="3206" t="s">
        <v>2553</v>
      </c>
      <c r="Z8" s="3207"/>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7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0"/>
      <c r="Q10" s="1798" t="str">
        <f t="shared" si="6"/>
        <v>土地使用年限（年）</v>
      </c>
      <c r="R10" s="770" t="s">
        <v>17</v>
      </c>
      <c r="S10" s="771">
        <f t="shared" si="0"/>
        <v>105</v>
      </c>
      <c r="T10" s="770" t="s">
        <v>17</v>
      </c>
      <c r="U10" s="771">
        <f t="shared" si="1"/>
        <v>105</v>
      </c>
      <c r="V10" s="770" t="s">
        <v>17</v>
      </c>
      <c r="W10" s="771">
        <f t="shared" si="2"/>
        <v>105</v>
      </c>
      <c r="X10" s="772"/>
      <c r="Y10" s="2995"/>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2" t="s">
        <v>2561</v>
      </c>
      <c r="Q15" s="1813" t="str">
        <f t="shared" si="6"/>
        <v>产业集聚程度</v>
      </c>
      <c r="R15" s="774" t="s">
        <v>17</v>
      </c>
      <c r="S15" s="775">
        <f t="shared" si="0"/>
        <v>100</v>
      </c>
      <c r="T15" s="774" t="s">
        <v>17</v>
      </c>
      <c r="U15" s="775">
        <f t="shared" si="1"/>
        <v>100</v>
      </c>
      <c r="V15" s="774" t="s">
        <v>17</v>
      </c>
      <c r="W15" s="775">
        <f t="shared" si="2"/>
        <v>100</v>
      </c>
      <c r="X15" s="1816"/>
      <c r="Y15" s="3172"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3"/>
      <c r="Q16" s="1813"/>
      <c r="R16" s="774"/>
      <c r="S16" s="775"/>
      <c r="T16" s="774"/>
      <c r="U16" s="775"/>
      <c r="V16" s="774"/>
      <c r="W16" s="775"/>
      <c r="X16" s="1816"/>
      <c r="Y16" s="3173"/>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3"/>
      <c r="Q18" s="1813"/>
      <c r="R18" s="774"/>
      <c r="S18" s="775"/>
      <c r="T18" s="774"/>
      <c r="U18" s="775"/>
      <c r="V18" s="774"/>
      <c r="W18" s="775"/>
      <c r="X18" s="1816"/>
      <c r="Y18" s="3173"/>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3"/>
      <c r="Q19" s="1813" t="str">
        <f t="shared" ref="Q19:Q33" si="8">B19</f>
        <v>区域土地利用方向</v>
      </c>
      <c r="R19" s="774" t="s">
        <v>17</v>
      </c>
      <c r="S19" s="775">
        <f>F19</f>
        <v>100</v>
      </c>
      <c r="T19" s="774" t="s">
        <v>17</v>
      </c>
      <c r="U19" s="775">
        <f>H19</f>
        <v>100</v>
      </c>
      <c r="V19" s="774" t="s">
        <v>17</v>
      </c>
      <c r="W19" s="775">
        <f>J19</f>
        <v>100</v>
      </c>
      <c r="X19" s="1816"/>
      <c r="Y19" s="317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3"/>
      <c r="Q20" s="1813"/>
      <c r="R20" s="774"/>
      <c r="S20" s="775"/>
      <c r="T20" s="774"/>
      <c r="U20" s="775"/>
      <c r="V20" s="774"/>
      <c r="W20" s="775"/>
      <c r="X20" s="1816"/>
      <c r="Y20" s="3173"/>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3"/>
      <c r="Q21" s="1813" t="str">
        <f t="shared" si="8"/>
        <v>环境状况</v>
      </c>
      <c r="R21" s="774" t="s">
        <v>17</v>
      </c>
      <c r="S21" s="775">
        <f>F21</f>
        <v>100</v>
      </c>
      <c r="T21" s="774" t="s">
        <v>17</v>
      </c>
      <c r="U21" s="775">
        <f>H21</f>
        <v>100</v>
      </c>
      <c r="V21" s="774" t="s">
        <v>17</v>
      </c>
      <c r="W21" s="775">
        <f>J21</f>
        <v>100</v>
      </c>
      <c r="X21" s="1816"/>
      <c r="Y21" s="317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3"/>
      <c r="Q22" s="1813"/>
      <c r="R22" s="774"/>
      <c r="S22" s="775"/>
      <c r="T22" s="774"/>
      <c r="U22" s="775"/>
      <c r="V22" s="774"/>
      <c r="W22" s="775"/>
      <c r="X22" s="1816"/>
      <c r="Y22" s="3173"/>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3"/>
      <c r="Q23" s="1798" t="str">
        <f t="shared" si="8"/>
        <v>公共配套设施</v>
      </c>
      <c r="R23" s="770" t="s">
        <v>17</v>
      </c>
      <c r="S23" s="771">
        <f>F23</f>
        <v>100</v>
      </c>
      <c r="T23" s="770" t="s">
        <v>17</v>
      </c>
      <c r="U23" s="771">
        <f>H23</f>
        <v>100</v>
      </c>
      <c r="V23" s="770" t="s">
        <v>17</v>
      </c>
      <c r="W23" s="771">
        <f>J23</f>
        <v>100</v>
      </c>
      <c r="X23" s="772"/>
      <c r="Y23" s="317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73"/>
      <c r="Q24" s="1798"/>
      <c r="R24" s="770"/>
      <c r="S24" s="771"/>
      <c r="T24" s="770"/>
      <c r="U24" s="771"/>
      <c r="V24" s="770"/>
      <c r="W24" s="771"/>
      <c r="X24" s="772"/>
      <c r="Y24" s="3173"/>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3"/>
      <c r="Q25" s="1798"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73"/>
      <c r="Q26" s="1798"/>
      <c r="R26" s="770"/>
      <c r="S26" s="771"/>
      <c r="T26" s="770"/>
      <c r="U26" s="771"/>
      <c r="V26" s="770"/>
      <c r="W26" s="771"/>
      <c r="X26" s="772"/>
      <c r="Y26" s="317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3"/>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3"/>
      <c r="Q28" s="1813" t="str">
        <f t="shared" si="8"/>
        <v>毗邻道路的类型与等级</v>
      </c>
      <c r="R28" s="774" t="s">
        <v>17</v>
      </c>
      <c r="S28" s="775">
        <f t="shared" si="10"/>
        <v>100</v>
      </c>
      <c r="T28" s="774" t="s">
        <v>17</v>
      </c>
      <c r="U28" s="775">
        <f t="shared" si="11"/>
        <v>100</v>
      </c>
      <c r="V28" s="774" t="s">
        <v>17</v>
      </c>
      <c r="W28" s="775">
        <f t="shared" si="12"/>
        <v>100</v>
      </c>
      <c r="X28" s="1816"/>
      <c r="Y28" s="317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3"/>
      <c r="Q29" s="1813"/>
      <c r="R29" s="774"/>
      <c r="S29" s="775"/>
      <c r="T29" s="774"/>
      <c r="U29" s="775"/>
      <c r="V29" s="774"/>
      <c r="W29" s="775"/>
      <c r="X29" s="1816"/>
      <c r="Y29" s="317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3"/>
      <c r="Q30" s="1813" t="str">
        <f t="shared" si="8"/>
        <v>土地级别</v>
      </c>
      <c r="R30" s="774" t="s">
        <v>17</v>
      </c>
      <c r="S30" s="775">
        <f t="shared" si="10"/>
        <v>100</v>
      </c>
      <c r="T30" s="774" t="s">
        <v>17</v>
      </c>
      <c r="U30" s="775">
        <f t="shared" si="11"/>
        <v>100</v>
      </c>
      <c r="V30" s="774" t="s">
        <v>17</v>
      </c>
      <c r="W30" s="775">
        <f t="shared" si="12"/>
        <v>100</v>
      </c>
      <c r="X30" s="1816"/>
      <c r="Y30" s="317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3"/>
      <c r="Q31" s="1813">
        <f t="shared" si="8"/>
        <v>111</v>
      </c>
      <c r="R31" s="774" t="s">
        <v>17</v>
      </c>
      <c r="S31" s="775">
        <f t="shared" si="10"/>
        <v>100</v>
      </c>
      <c r="T31" s="774" t="s">
        <v>17</v>
      </c>
      <c r="U31" s="775">
        <f t="shared" si="11"/>
        <v>100</v>
      </c>
      <c r="V31" s="774" t="s">
        <v>17</v>
      </c>
      <c r="W31" s="775">
        <f t="shared" si="12"/>
        <v>100</v>
      </c>
      <c r="X31" s="1816"/>
      <c r="Y31" s="317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2566</v>
      </c>
      <c r="Q32" s="1813">
        <f t="shared" si="8"/>
        <v>111</v>
      </c>
      <c r="R32" s="774" t="s">
        <v>17</v>
      </c>
      <c r="S32" s="775">
        <f t="shared" si="10"/>
        <v>100</v>
      </c>
      <c r="T32" s="774" t="s">
        <v>17</v>
      </c>
      <c r="U32" s="775">
        <f t="shared" si="11"/>
        <v>100</v>
      </c>
      <c r="V32" s="774" t="s">
        <v>17</v>
      </c>
      <c r="W32" s="775">
        <f t="shared" si="12"/>
        <v>100</v>
      </c>
      <c r="X32" s="1816"/>
      <c r="Y32" s="3177"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7"/>
      <c r="Q33" s="1813">
        <f t="shared" si="8"/>
        <v>111</v>
      </c>
      <c r="R33" s="777" t="s">
        <v>17</v>
      </c>
      <c r="S33" s="778">
        <f t="shared" si="10"/>
        <v>100</v>
      </c>
      <c r="T33" s="777" t="s">
        <v>17</v>
      </c>
      <c r="U33" s="778">
        <f t="shared" si="11"/>
        <v>100</v>
      </c>
      <c r="V33" s="777" t="s">
        <v>17</v>
      </c>
      <c r="W33" s="778">
        <f t="shared" si="12"/>
        <v>100</v>
      </c>
      <c r="X33" s="779"/>
      <c r="Y33" s="3177"/>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7"/>
      <c r="Q34" s="1813" t="str">
        <f>B34</f>
        <v>宗地面积</v>
      </c>
      <c r="R34" s="774" t="s">
        <v>17</v>
      </c>
      <c r="S34" s="775" t="e">
        <f t="shared" si="10"/>
        <v>#N/A</v>
      </c>
      <c r="T34" s="774" t="s">
        <v>17</v>
      </c>
      <c r="U34" s="775" t="e">
        <f t="shared" si="11"/>
        <v>#N/A</v>
      </c>
      <c r="V34" s="774" t="s">
        <v>17</v>
      </c>
      <c r="W34" s="775" t="e">
        <f t="shared" si="12"/>
        <v>#N/A</v>
      </c>
      <c r="X34" s="1816"/>
      <c r="Y34" s="3177"/>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7"/>
      <c r="Q35" s="1813" t="str">
        <f t="shared" ref="Q35:Q40" si="14">B35</f>
        <v>宗地形状</v>
      </c>
      <c r="R35" s="774" t="s">
        <v>17</v>
      </c>
      <c r="S35" s="775">
        <f t="shared" si="10"/>
        <v>100</v>
      </c>
      <c r="T35" s="774" t="s">
        <v>17</v>
      </c>
      <c r="U35" s="775">
        <f t="shared" si="11"/>
        <v>100</v>
      </c>
      <c r="V35" s="774" t="s">
        <v>17</v>
      </c>
      <c r="W35" s="775">
        <f t="shared" si="12"/>
        <v>100</v>
      </c>
      <c r="X35" s="1816"/>
      <c r="Y35" s="3177"/>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7"/>
      <c r="Q36" s="1813"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7" t="s">
        <v>2566</v>
      </c>
      <c r="Q37" s="1813" t="str">
        <f t="shared" si="14"/>
        <v>工程地质条件</v>
      </c>
      <c r="R37" s="774" t="s">
        <v>17</v>
      </c>
      <c r="S37" s="775">
        <f t="shared" si="10"/>
        <v>100</v>
      </c>
      <c r="T37" s="774" t="s">
        <v>17</v>
      </c>
      <c r="U37" s="775">
        <f t="shared" si="11"/>
        <v>100</v>
      </c>
      <c r="V37" s="774" t="s">
        <v>17</v>
      </c>
      <c r="W37" s="775">
        <f t="shared" si="12"/>
        <v>100</v>
      </c>
      <c r="X37" s="1816"/>
      <c r="Y37" s="317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7"/>
      <c r="Q38" s="1813">
        <f t="shared" si="14"/>
        <v>111</v>
      </c>
      <c r="R38" s="774" t="s">
        <v>17</v>
      </c>
      <c r="S38" s="775">
        <f t="shared" si="10"/>
        <v>100</v>
      </c>
      <c r="T38" s="774" t="s">
        <v>17</v>
      </c>
      <c r="U38" s="775">
        <f t="shared" si="11"/>
        <v>100</v>
      </c>
      <c r="V38" s="774" t="s">
        <v>17</v>
      </c>
      <c r="W38" s="775">
        <f t="shared" si="12"/>
        <v>100</v>
      </c>
      <c r="X38" s="1816"/>
      <c r="Y38" s="317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7"/>
      <c r="Q39" s="1813">
        <f t="shared" si="14"/>
        <v>111</v>
      </c>
      <c r="R39" s="774" t="s">
        <v>17</v>
      </c>
      <c r="S39" s="775">
        <f t="shared" si="10"/>
        <v>100</v>
      </c>
      <c r="T39" s="774" t="s">
        <v>17</v>
      </c>
      <c r="U39" s="775">
        <f t="shared" si="11"/>
        <v>100</v>
      </c>
      <c r="V39" s="774" t="s">
        <v>17</v>
      </c>
      <c r="W39" s="775">
        <f t="shared" si="12"/>
        <v>100</v>
      </c>
      <c r="X39" s="1816"/>
      <c r="Y39" s="317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7"/>
      <c r="Q40" s="1813">
        <f t="shared" si="14"/>
        <v>111</v>
      </c>
      <c r="R40" s="777" t="s">
        <v>17</v>
      </c>
      <c r="S40" s="778">
        <f t="shared" si="10"/>
        <v>100</v>
      </c>
      <c r="T40" s="777" t="s">
        <v>17</v>
      </c>
      <c r="U40" s="778">
        <f t="shared" si="11"/>
        <v>100</v>
      </c>
      <c r="V40" s="777" t="s">
        <v>17</v>
      </c>
      <c r="W40" s="778">
        <f t="shared" si="12"/>
        <v>100</v>
      </c>
      <c r="X40" s="779"/>
      <c r="Y40" s="3177"/>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70" t="str">
        <f>A41</f>
        <v>成交单价</v>
      </c>
      <c r="Q41" s="3170"/>
      <c r="R41" s="3201">
        <f>E41</f>
        <v>0</v>
      </c>
      <c r="S41" s="3201"/>
      <c r="T41" s="3201">
        <f>G41</f>
        <v>0</v>
      </c>
      <c r="U41" s="3201"/>
      <c r="V41" s="3201">
        <f>I41</f>
        <v>0</v>
      </c>
      <c r="W41" s="320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67" t="str">
        <f>A43</f>
        <v>估价对象XX用房的比较价值（楼面单价，元/平方米）</v>
      </c>
      <c r="Q43" s="3168"/>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185" t="s">
        <v>2765</v>
      </c>
      <c r="H50" s="323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7397.6099999999988</v>
      </c>
      <c r="F51" s="691" t="e">
        <f t="shared" ref="F51:F60" si="15">ROUND(B51*E51/10000,0)</f>
        <v>#DIV/0!</v>
      </c>
      <c r="G51" s="3181"/>
      <c r="H51" s="3170"/>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14160.27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0</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8" t="s">
        <v>2820</v>
      </c>
      <c r="D3" s="2729" t="s">
        <v>2821</v>
      </c>
      <c r="E3" s="2734"/>
      <c r="F3" s="2735" t="s">
        <v>2822</v>
      </c>
      <c r="G3" s="916">
        <f>IF(F3="宗地容积率",'数据-汇总表'!I4,IF(F3="估价对象容积率",'数据-汇总表'!I6,'数据-汇总表'!I7))</f>
        <v>0.52</v>
      </c>
      <c r="H3" s="198" t="s">
        <v>2823</v>
      </c>
      <c r="I3" s="947"/>
      <c r="J3" s="2732" t="s">
        <v>2824</v>
      </c>
      <c r="K3" s="1373"/>
      <c r="L3" s="2733"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0"/>
      <c r="B4" s="3241"/>
      <c r="C4" s="3241"/>
      <c r="D4" s="3242"/>
      <c r="E4" s="3242"/>
      <c r="F4" s="3242"/>
      <c r="G4" s="3242"/>
      <c r="H4" s="3242"/>
      <c r="I4" s="3242"/>
      <c r="J4" s="3243"/>
      <c r="K4" s="1373"/>
      <c r="L4" s="2733"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2827</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2829</v>
      </c>
      <c r="B6" s="2747" t="s">
        <v>2830</v>
      </c>
      <c r="C6" s="918">
        <f>SUMIF(L1:L12,G2,M1:M12)</f>
        <v>0</v>
      </c>
      <c r="D6" s="2748" t="s">
        <v>2831</v>
      </c>
      <c r="E6" s="2749"/>
      <c r="F6" s="2749"/>
      <c r="G6" s="2750"/>
      <c r="H6" s="2750"/>
      <c r="I6" s="2750"/>
      <c r="J6" s="2751"/>
      <c r="K6" s="1845"/>
      <c r="L6" s="2733"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44" t="str">
        <f>IF(E2="商业",IF(C8="不临58条商业街","",2),"")</f>
        <v/>
      </c>
      <c r="B7" s="2752" t="s">
        <v>2833</v>
      </c>
      <c r="C7" s="919" t="e">
        <f>IF(C8="不临58条商业街",1,ROUND(1+(1.6*E8+1.2*E9+0.8*E10+0.4*E11)*C9,4))</f>
        <v>#DIV/0!</v>
      </c>
      <c r="D7" s="2753" t="s">
        <v>2834</v>
      </c>
      <c r="E7" s="948"/>
      <c r="F7" s="2754"/>
      <c r="G7" s="2755"/>
      <c r="H7" s="2755"/>
      <c r="I7" s="2755"/>
      <c r="J7" s="2756"/>
      <c r="K7" s="1845"/>
      <c r="L7" s="2733"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0.52</v>
      </c>
      <c r="AA7" s="1609"/>
      <c r="AB7" s="1609"/>
      <c r="AC7" s="1610"/>
      <c r="AD7" s="1611"/>
      <c r="AE7" s="1611"/>
      <c r="AF7" s="1611"/>
      <c r="AG7" s="1611"/>
      <c r="AH7" s="1611"/>
      <c r="AI7" s="1611"/>
      <c r="AJ7" s="1612"/>
    </row>
    <row r="8" spans="1:36" ht="15">
      <c r="A8" s="3245"/>
      <c r="B8" s="198" t="s">
        <v>2838</v>
      </c>
      <c r="C8" s="2757"/>
      <c r="D8" s="920" t="s">
        <v>139</v>
      </c>
      <c r="E8" s="921" t="e">
        <f>ROUND(C11/E7,4)</f>
        <v>#DIV/0!</v>
      </c>
      <c r="F8" s="2758" t="s">
        <v>2839</v>
      </c>
      <c r="G8" s="2759"/>
      <c r="H8" s="2759"/>
      <c r="I8" s="2759"/>
      <c r="J8" s="2760"/>
      <c r="K8" s="1373"/>
      <c r="L8" s="2733"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37" t="s">
        <v>2841</v>
      </c>
      <c r="X8" s="3238"/>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5"/>
      <c r="B9" s="198" t="s">
        <v>2854</v>
      </c>
      <c r="C9" s="922">
        <f>SUMIF(修正!C59:C119,C8,修正!E59:E119)</f>
        <v>0</v>
      </c>
      <c r="D9" s="200" t="s">
        <v>140</v>
      </c>
      <c r="E9" s="200" t="e">
        <f>ROUND(C11/E7,4)</f>
        <v>#DIV/0!</v>
      </c>
      <c r="F9" s="2758" t="s">
        <v>2855</v>
      </c>
      <c r="G9" s="2759"/>
      <c r="H9" s="2759"/>
      <c r="I9" s="2759"/>
      <c r="J9" s="2760"/>
      <c r="K9" s="1373"/>
      <c r="L9" s="2733"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39"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5"/>
      <c r="B10" s="198" t="s">
        <v>2859</v>
      </c>
      <c r="C10" s="200">
        <f>SUMIF(修正!C59:C119,C8,修正!F59:F119)</f>
        <v>0</v>
      </c>
      <c r="D10" s="200" t="s">
        <v>141</v>
      </c>
      <c r="E10" s="200" t="e">
        <f>ROUND(C11/E7,4)</f>
        <v>#DIV/0!</v>
      </c>
      <c r="F10" s="2758" t="s">
        <v>2860</v>
      </c>
      <c r="G10" s="2759"/>
      <c r="H10" s="2759"/>
      <c r="I10" s="2759"/>
      <c r="J10" s="2760"/>
      <c r="K10" s="1373"/>
      <c r="L10" s="2733"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5"/>
      <c r="B11" s="2761" t="s">
        <v>2862</v>
      </c>
      <c r="C11" s="923">
        <f>C10/4</f>
        <v>0</v>
      </c>
      <c r="D11" s="923" t="s">
        <v>142</v>
      </c>
      <c r="E11" s="923" t="e">
        <f>ROUND(C11/E7,4)</f>
        <v>#DIV/0!</v>
      </c>
      <c r="F11" s="2762" t="s">
        <v>2863</v>
      </c>
      <c r="G11" s="2763"/>
      <c r="H11" s="2763"/>
      <c r="I11" s="2763"/>
      <c r="J11" s="2764"/>
      <c r="K11" s="1373"/>
      <c r="L11" s="2733"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39" t="s">
        <v>2865</v>
      </c>
      <c r="X11" s="1617" t="s">
        <v>2866</v>
      </c>
      <c r="Y11" s="1618">
        <f>$G$3</f>
        <v>0.52</v>
      </c>
      <c r="Z11" s="1618">
        <f t="shared" ref="Z11:AJ11" si="3">$G$3</f>
        <v>0.52</v>
      </c>
      <c r="AA11" s="1618">
        <f t="shared" si="3"/>
        <v>0.52</v>
      </c>
      <c r="AB11" s="1618">
        <f t="shared" si="3"/>
        <v>0.52</v>
      </c>
      <c r="AC11" s="1618">
        <f t="shared" si="3"/>
        <v>0.52</v>
      </c>
      <c r="AD11" s="1618">
        <f t="shared" si="3"/>
        <v>0.52</v>
      </c>
      <c r="AE11" s="1618">
        <f t="shared" si="3"/>
        <v>0.52</v>
      </c>
      <c r="AF11" s="1618">
        <f t="shared" si="3"/>
        <v>0.52</v>
      </c>
      <c r="AG11" s="1618">
        <f t="shared" si="3"/>
        <v>0.52</v>
      </c>
      <c r="AH11" s="1618">
        <f t="shared" si="3"/>
        <v>0.52</v>
      </c>
      <c r="AI11" s="1618">
        <f t="shared" si="3"/>
        <v>0.52</v>
      </c>
      <c r="AJ11" s="1618">
        <f t="shared" si="3"/>
        <v>0.52</v>
      </c>
    </row>
    <row r="12" spans="1:36" ht="25.5" thickBot="1">
      <c r="A12" s="3244" t="s">
        <v>2867</v>
      </c>
      <c r="B12" s="2765" t="s">
        <v>2868</v>
      </c>
      <c r="C12" s="919">
        <f>ROUND(C15*D15*E15*F15*G15*H15*I15*J15,4)</f>
        <v>1</v>
      </c>
      <c r="D12" s="2766" t="s">
        <v>2869</v>
      </c>
      <c r="E12" s="2767"/>
      <c r="F12" s="2767"/>
      <c r="G12" s="2768"/>
      <c r="H12" s="2768"/>
      <c r="I12" s="2768"/>
      <c r="J12" s="2769"/>
      <c r="K12" s="1373"/>
      <c r="L12" s="2770"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39"/>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6"/>
      <c r="B13" s="2771" t="s">
        <v>2872</v>
      </c>
      <c r="C13" s="2772" t="s">
        <v>2873</v>
      </c>
      <c r="D13" s="1811" t="s">
        <v>2874</v>
      </c>
      <c r="E13" s="1811" t="s">
        <v>2875</v>
      </c>
      <c r="F13" s="30" t="s">
        <v>2876</v>
      </c>
      <c r="G13" s="2773" t="s">
        <v>2877</v>
      </c>
      <c r="H13" s="2773" t="s">
        <v>2877</v>
      </c>
      <c r="I13" s="2773" t="s">
        <v>2877</v>
      </c>
      <c r="J13" s="2774" t="s">
        <v>2877</v>
      </c>
      <c r="K13" s="1373"/>
      <c r="L13" s="1373"/>
      <c r="M13" s="1373"/>
      <c r="N13" s="1373"/>
      <c r="O13" s="1373"/>
      <c r="P13" s="1373"/>
      <c r="Q13" s="1373"/>
      <c r="R13" s="1605">
        <v>12</v>
      </c>
      <c r="S13" s="1606"/>
      <c r="T13" s="1605" t="e">
        <f t="shared" si="0"/>
        <v>#DIV/0!</v>
      </c>
      <c r="U13" s="1606"/>
      <c r="V13" s="1605" t="e">
        <f t="shared" si="1"/>
        <v>#DIV/0!</v>
      </c>
      <c r="W13" s="3239"/>
      <c r="X13" s="1619"/>
      <c r="Y13" s="1616">
        <f>(-0.163*(Y12^2)-0.59*Y12+7617)*(10^(-4))/Y11</f>
        <v>1.4648076923076923</v>
      </c>
      <c r="Z13" s="1616">
        <f t="shared" ref="Z13:AJ13" si="5">(-0.163*(Z12^2)-0.59*Z12+7617)*(10^(-4))/Z11</f>
        <v>1.4648076923076923</v>
      </c>
      <c r="AA13" s="1616">
        <f t="shared" si="5"/>
        <v>1.4648076923076923</v>
      </c>
      <c r="AB13" s="1616">
        <f t="shared" si="5"/>
        <v>1.4648076923076923</v>
      </c>
      <c r="AC13" s="1616">
        <f t="shared" si="5"/>
        <v>1.4648076923076923</v>
      </c>
      <c r="AD13" s="1616">
        <f t="shared" si="5"/>
        <v>1.4648076923076923</v>
      </c>
      <c r="AE13" s="1616">
        <f t="shared" si="5"/>
        <v>1.4648076923076923</v>
      </c>
      <c r="AF13" s="1616">
        <f t="shared" si="5"/>
        <v>1.4648076923076923</v>
      </c>
      <c r="AG13" s="1616">
        <f t="shared" si="5"/>
        <v>1.4648076923076923</v>
      </c>
      <c r="AH13" s="1616">
        <f t="shared" si="5"/>
        <v>1.4648076923076923</v>
      </c>
      <c r="AI13" s="1616">
        <f t="shared" si="5"/>
        <v>1.4648076923076923</v>
      </c>
      <c r="AJ13" s="1616">
        <f t="shared" si="5"/>
        <v>1.4648076923076923</v>
      </c>
    </row>
    <row r="14" spans="1:36" ht="15">
      <c r="A14" s="3246"/>
      <c r="B14" s="2775"/>
      <c r="C14" s="2776"/>
      <c r="D14" s="2777"/>
      <c r="E14" s="2777"/>
      <c r="F14" s="2778"/>
      <c r="G14" s="2779" t="s">
        <v>2878</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47"/>
      <c r="B15" s="2783" t="s">
        <v>2879</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2880</v>
      </c>
      <c r="N15" s="920" t="s">
        <v>2881</v>
      </c>
      <c r="O15" s="920" t="s">
        <v>2882</v>
      </c>
      <c r="P15" s="2785"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4" t="s">
        <v>2884</v>
      </c>
      <c r="B16" s="2752" t="s">
        <v>2885</v>
      </c>
      <c r="C16" s="1804" t="e">
        <f>ROUND(SUM(G17:J17)/C17,0)</f>
        <v>#DIV/0!</v>
      </c>
      <c r="D16" s="2786" t="s">
        <v>2886</v>
      </c>
      <c r="E16" s="2787"/>
      <c r="F16" s="2788"/>
      <c r="G16" s="2789"/>
      <c r="H16" s="2789"/>
      <c r="I16" s="2789"/>
      <c r="J16" s="2790"/>
      <c r="K16" s="1373"/>
      <c r="L16" s="2791"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5"/>
      <c r="B17" s="2792" t="s">
        <v>2888</v>
      </c>
      <c r="C17" s="924">
        <f>SUMPRODUCT((修正!A2:A5=E2)*(修正!B1:M1=G2)*(修正!B2:M5))</f>
        <v>0</v>
      </c>
      <c r="D17" s="2793"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2892</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2893</v>
      </c>
      <c r="C19" s="927" t="e">
        <f>ROUND(IF(H19="按公示增长率计算",SUMPRODUCT((地价!A3:A25=YEAR(G19)&amp;"-"&amp;ROUNDUP(MONTH(G19)/3,0))*(地价!X2:AB2=E2)*(地价!X3:AB25)),IF(H19="地价指数",M20/M19,(1+I19)^O19)),4)</f>
        <v>#DIV/0!</v>
      </c>
      <c r="D19" s="2804" t="s">
        <v>2894</v>
      </c>
      <c r="E19" s="928">
        <v>41640</v>
      </c>
      <c r="F19" s="2804" t="s">
        <v>2895</v>
      </c>
      <c r="G19" s="929">
        <f>'数据-取费表'!B2</f>
        <v>43598</v>
      </c>
      <c r="H19" s="2805" t="s">
        <v>2896</v>
      </c>
      <c r="I19" s="930" t="str">
        <f>IF(H19="季度增幅（自定义）",SUMIF(N21:N24,E2,O21:O24),"")</f>
        <v/>
      </c>
      <c r="J19" s="2802"/>
      <c r="K19" s="1380"/>
      <c r="L19" s="2806" t="s">
        <v>2897</v>
      </c>
      <c r="M19" s="1737">
        <f>ROUND(SUMIF(地价!B2:F2,E2,地价!B25:F25),0)</f>
        <v>0</v>
      </c>
      <c r="N19" s="2807"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2899</v>
      </c>
      <c r="C20" s="932" t="e">
        <f>ROUND(POWER(1+G20,J20-I20)*(POWER(1+G20,I20)-1)/(POWER(1+G20,J20)-1),4)</f>
        <v>#DIV/0!</v>
      </c>
      <c r="D20" s="2813" t="s">
        <v>2900</v>
      </c>
      <c r="E20" s="1771">
        <f ca="1">存贷款利率!D4/100</f>
        <v>4.3499999999999997E-2</v>
      </c>
      <c r="F20" s="2813" t="s">
        <v>2891</v>
      </c>
      <c r="G20" s="937">
        <f>SUMIF(M15:P15,E2,M17:P17)</f>
        <v>0</v>
      </c>
      <c r="H20" s="2813" t="s">
        <v>2901</v>
      </c>
      <c r="I20" s="938" t="e">
        <f>SUMIF('数据-取费表'!C6:C15,E2,'数据-取费表'!F6:F15)/COUNTIF('数据-取费表'!C6:C15,E2)</f>
        <v>#DIV/0!</v>
      </c>
      <c r="J20" s="939">
        <f>IF(E2="住宅",70,IF(E2="商业",40,50))</f>
        <v>50</v>
      </c>
      <c r="K20" s="1380"/>
      <c r="L20" s="2814" t="s">
        <v>2902</v>
      </c>
      <c r="M20" s="1738">
        <f>ROUND(SUMPRODUCT((地价!A4:A25=YEAR(G19)&amp;"-"&amp;ROUNDUP(MONTH(G19)/3,0))*(地价!B2:F2=E2)*(地价!B4:F25)),0)</f>
        <v>0</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2906</v>
      </c>
      <c r="C21" s="940">
        <f>IF(B21="容积率修正",IF(G3&lt;=10,D22,J22),C23)</f>
        <v>0</v>
      </c>
      <c r="D21" s="2820"/>
      <c r="E21" s="2820"/>
      <c r="F21" s="2820"/>
      <c r="G21" s="2820"/>
      <c r="H21" s="2820"/>
      <c r="I21" s="2820"/>
      <c r="J21" s="2821"/>
      <c r="K21" s="1380"/>
      <c r="N21" s="2822" t="s">
        <v>2907</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2911</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2914</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0</v>
      </c>
      <c r="D24" s="2800"/>
      <c r="E24" s="2830"/>
      <c r="F24" s="2830"/>
      <c r="G24" s="2830"/>
      <c r="H24" s="2830"/>
      <c r="I24" s="2830"/>
      <c r="J24" s="2831"/>
      <c r="K24" s="1380"/>
      <c r="N24" s="2832" t="s">
        <v>2916</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2919</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t="e">
        <f>ROUND(C5*C18*C19*C20*C21*C24,0)</f>
        <v>#DIV/0!</v>
      </c>
      <c r="D29" s="2852"/>
      <c r="E29" s="945" t="e">
        <f>ROUND(C29*D29/10000,0)</f>
        <v>#DIV/0!</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t="e">
        <f>ROUND(IF(E2="工业",C29*M39,C29*M38),0)</f>
        <v>#DIV/0!</v>
      </c>
      <c r="D30" s="2858"/>
      <c r="E30" s="945" t="e">
        <f>ROUND(C30*D30/10000,0)</f>
        <v>#DIV/0!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4" t="s">
        <v>2933</v>
      </c>
      <c r="B33" s="2868" t="s">
        <v>2934</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72" t="s">
        <v>2935</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72" t="s">
        <v>2936</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56"/>
      <c r="B36" s="2772" t="s">
        <v>2937</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2883</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3053</v>
      </c>
      <c r="C41" s="388" t="e">
        <f>ROUND(POWER(1+E41,H41-G41)*(POWER(1+E41,G41)-1)/(POWER(1+E41,H41)-1),4)</f>
        <v>#DIV/0!</v>
      </c>
      <c r="D41" s="200" t="s">
        <v>2891</v>
      </c>
      <c r="E41" s="2944">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2598</v>
      </c>
      <c r="K80" s="603" t="s">
        <v>2599</v>
      </c>
      <c r="L80" s="603" t="s">
        <v>2600</v>
      </c>
      <c r="M80" s="603" t="s">
        <v>2601</v>
      </c>
      <c r="N80" s="603" t="s">
        <v>2602</v>
      </c>
      <c r="Z80" s="2727"/>
      <c r="AA80" s="2803"/>
      <c r="AG80" s="1375"/>
      <c r="AK80" s="2803"/>
    </row>
    <row r="81" spans="1:37" ht="38.25">
      <c r="A81" s="2885" t="s">
        <v>2972</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2955</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2969</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2961</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2962</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2959</v>
      </c>
      <c r="B87" s="2891" t="s">
        <v>2973</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2974</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8" t="s">
        <v>2975</v>
      </c>
      <c r="B90" s="3248"/>
      <c r="C90" s="3248"/>
      <c r="D90" s="3248"/>
      <c r="E90" s="3248"/>
      <c r="F90" s="3248"/>
      <c r="G90" s="3248"/>
      <c r="H90" s="3248"/>
      <c r="I90" s="3248"/>
      <c r="J90" s="3248"/>
      <c r="K90" s="2899"/>
      <c r="L90" s="2899"/>
      <c r="M90" s="2899"/>
      <c r="N90" s="2899"/>
    </row>
    <row r="91" spans="1:37">
      <c r="A91" s="3250" t="s">
        <v>2976</v>
      </c>
      <c r="B91" s="3250" t="s">
        <v>2977</v>
      </c>
      <c r="C91" s="2853" t="s">
        <v>2978</v>
      </c>
      <c r="D91" s="2854"/>
      <c r="E91" s="2854"/>
      <c r="F91" s="2854"/>
      <c r="G91" s="2854"/>
      <c r="H91" s="2854"/>
      <c r="I91" s="2854"/>
      <c r="J91" s="2900"/>
      <c r="K91" s="2901"/>
      <c r="L91" s="2901"/>
      <c r="M91" s="2901"/>
      <c r="N91" s="2901"/>
    </row>
    <row r="92" spans="1:37">
      <c r="A92" s="3250"/>
      <c r="B92" s="3250"/>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1"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2"/>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1" t="s">
        <v>2980</v>
      </c>
      <c r="B101" s="2906" t="s">
        <v>2981</v>
      </c>
      <c r="C101" s="2907">
        <f>$G$3</f>
        <v>0.52</v>
      </c>
      <c r="D101" s="2907">
        <f t="shared" ref="D101:N101" si="31">$G$3</f>
        <v>0.52</v>
      </c>
      <c r="E101" s="2907">
        <f t="shared" si="31"/>
        <v>0.52</v>
      </c>
      <c r="F101" s="2907">
        <f t="shared" si="31"/>
        <v>0.52</v>
      </c>
      <c r="G101" s="2907">
        <f t="shared" si="31"/>
        <v>0.52</v>
      </c>
      <c r="H101" s="2907">
        <f t="shared" si="31"/>
        <v>0.52</v>
      </c>
      <c r="I101" s="2907">
        <f t="shared" si="31"/>
        <v>0.52</v>
      </c>
      <c r="J101" s="2907">
        <f t="shared" si="31"/>
        <v>0.52</v>
      </c>
      <c r="K101" s="2907">
        <f t="shared" si="31"/>
        <v>0.52</v>
      </c>
      <c r="L101" s="2907">
        <f t="shared" si="31"/>
        <v>0.52</v>
      </c>
      <c r="M101" s="2907">
        <f t="shared" si="31"/>
        <v>0.52</v>
      </c>
      <c r="N101" s="2907">
        <f t="shared" si="31"/>
        <v>0.52</v>
      </c>
    </row>
    <row r="102" spans="1:14">
      <c r="A102" s="3252"/>
      <c r="B102" s="2902">
        <v>1</v>
      </c>
      <c r="C102" s="2903">
        <f>1.9362/C101</f>
        <v>3.7234615384615384</v>
      </c>
      <c r="D102" s="2903">
        <f>1.9362/D101</f>
        <v>3.7234615384615384</v>
      </c>
      <c r="E102" s="2903">
        <f>1.8629/E101</f>
        <v>3.5825</v>
      </c>
      <c r="F102" s="2903">
        <f>1.8629/F101</f>
        <v>3.5825</v>
      </c>
      <c r="G102" s="2903">
        <f>1.8629/G101</f>
        <v>3.5825</v>
      </c>
      <c r="H102" s="2903">
        <f>1.8629/H101</f>
        <v>3.5825</v>
      </c>
      <c r="I102" s="2903">
        <f>1.8629/I101</f>
        <v>3.5825</v>
      </c>
      <c r="J102" s="2903">
        <f>1.942/J101</f>
        <v>3.7346153846153842</v>
      </c>
      <c r="K102" s="2903">
        <f>1.942/K101</f>
        <v>3.7346153846153842</v>
      </c>
      <c r="L102" s="2903">
        <f>1.942/L101</f>
        <v>3.7346153846153842</v>
      </c>
      <c r="M102" s="2903">
        <f>1.942/M101</f>
        <v>3.7346153846153842</v>
      </c>
      <c r="N102" s="2903">
        <f>1.942/N101</f>
        <v>3.7346153846153842</v>
      </c>
    </row>
    <row r="103" spans="1:14">
      <c r="A103" s="3252"/>
      <c r="B103" s="2902">
        <v>2</v>
      </c>
      <c r="C103" s="2903">
        <f>1.4198/C101</f>
        <v>2.7303846153846152</v>
      </c>
      <c r="D103" s="2903">
        <f>1.4198/D101</f>
        <v>2.7303846153846152</v>
      </c>
      <c r="E103" s="2903">
        <f>1.3372/E101</f>
        <v>2.5715384615384616</v>
      </c>
      <c r="F103" s="2903">
        <f>1.3372/F101</f>
        <v>2.5715384615384616</v>
      </c>
      <c r="G103" s="2903">
        <f>1.3372/G101</f>
        <v>2.5715384615384616</v>
      </c>
      <c r="H103" s="2903">
        <f>1.3372/H101</f>
        <v>2.5715384615384616</v>
      </c>
      <c r="I103" s="2903">
        <f>1.3372/I101</f>
        <v>2.5715384615384616</v>
      </c>
      <c r="J103" s="2903">
        <f>1.2799/J101</f>
        <v>2.4613461538461539</v>
      </c>
      <c r="K103" s="2903">
        <f>1.2799/K101</f>
        <v>2.4613461538461539</v>
      </c>
      <c r="L103" s="2903">
        <f>1.2799/L101</f>
        <v>2.4613461538461539</v>
      </c>
      <c r="M103" s="2903">
        <f>1.2799/M101</f>
        <v>2.4613461538461539</v>
      </c>
      <c r="N103" s="2903">
        <f>1.2799/N101</f>
        <v>2.4613461538461539</v>
      </c>
    </row>
    <row r="104" spans="1:14">
      <c r="A104" s="3252"/>
      <c r="B104" s="2902">
        <v>3</v>
      </c>
      <c r="C104" s="2903">
        <f>1.1594/C101</f>
        <v>2.2296153846153843</v>
      </c>
      <c r="D104" s="2903">
        <f>1.1594/D101</f>
        <v>2.2296153846153843</v>
      </c>
      <c r="E104" s="2903">
        <f>1.0788/E101</f>
        <v>2.0746153846153845</v>
      </c>
      <c r="F104" s="2903">
        <f>1.0788/F101</f>
        <v>2.0746153846153845</v>
      </c>
      <c r="G104" s="2903">
        <f>1.0788/G101</f>
        <v>2.0746153846153845</v>
      </c>
      <c r="H104" s="2903">
        <f>1.0788/H101</f>
        <v>2.0746153846153845</v>
      </c>
      <c r="I104" s="2903">
        <f>1.0788/I101</f>
        <v>2.0746153846153845</v>
      </c>
      <c r="J104" s="2903">
        <f>1.0072/J101</f>
        <v>1.936923076923077</v>
      </c>
      <c r="K104" s="2903">
        <f>1.0072/K101</f>
        <v>1.936923076923077</v>
      </c>
      <c r="L104" s="2903">
        <f>1.0072/L101</f>
        <v>1.936923076923077</v>
      </c>
      <c r="M104" s="2903">
        <f>1.0072/M101</f>
        <v>1.936923076923077</v>
      </c>
      <c r="N104" s="2903">
        <f>1.0072/N101</f>
        <v>1.936923076923077</v>
      </c>
    </row>
    <row r="105" spans="1:14">
      <c r="A105" s="3252"/>
      <c r="B105" s="2902">
        <v>4</v>
      </c>
      <c r="C105" s="2903">
        <f>0.9622/C101</f>
        <v>1.8503846153846155</v>
      </c>
      <c r="D105" s="2903">
        <f>0.9622/D101</f>
        <v>1.8503846153846155</v>
      </c>
      <c r="E105" s="2903">
        <f>0.8656/E101</f>
        <v>1.6646153846153846</v>
      </c>
      <c r="F105" s="2903">
        <f>0.8656/F101</f>
        <v>1.6646153846153846</v>
      </c>
      <c r="G105" s="2903">
        <f>0.8656/G101</f>
        <v>1.6646153846153846</v>
      </c>
      <c r="H105" s="2903">
        <f>0.8656/H101</f>
        <v>1.6646153846153846</v>
      </c>
      <c r="I105" s="2903">
        <f>0.8656/I101</f>
        <v>1.6646153846153846</v>
      </c>
      <c r="J105" s="2903">
        <f>0.7525/J101</f>
        <v>1.4471153846153844</v>
      </c>
      <c r="K105" s="2903">
        <f>0.7525/K101</f>
        <v>1.4471153846153844</v>
      </c>
      <c r="L105" s="2903">
        <f>0.7525/L101</f>
        <v>1.4471153846153844</v>
      </c>
      <c r="M105" s="2903">
        <f>0.7525/M101</f>
        <v>1.4471153846153844</v>
      </c>
      <c r="N105" s="2903">
        <f>0.7525/N101</f>
        <v>1.4471153846153844</v>
      </c>
    </row>
    <row r="106" spans="1:14">
      <c r="A106" s="3252"/>
      <c r="B106" s="2902">
        <v>5</v>
      </c>
      <c r="C106" s="2903">
        <f>0.8417/C101</f>
        <v>1.618653846153846</v>
      </c>
      <c r="D106" s="2903">
        <f>0.8417/D101</f>
        <v>1.618653846153846</v>
      </c>
      <c r="E106" s="2903">
        <f>0.7371/E101</f>
        <v>1.4175</v>
      </c>
      <c r="F106" s="2903">
        <f>0.7371/F101</f>
        <v>1.4175</v>
      </c>
      <c r="G106" s="2903">
        <f>0.7371/G101</f>
        <v>1.4175</v>
      </c>
      <c r="H106" s="2903">
        <f>0.7371/H101</f>
        <v>1.4175</v>
      </c>
      <c r="I106" s="2903">
        <f>0.7371/I101</f>
        <v>1.4175</v>
      </c>
      <c r="J106" s="2903">
        <f>0.5659/J101</f>
        <v>1.0882692307692305</v>
      </c>
      <c r="K106" s="2903">
        <f>0.5659/K101</f>
        <v>1.0882692307692305</v>
      </c>
      <c r="L106" s="2903">
        <f>0.5659/L101</f>
        <v>1.0882692307692305</v>
      </c>
      <c r="M106" s="2903">
        <f>0.5659/M101</f>
        <v>1.0882692307692305</v>
      </c>
      <c r="N106" s="2903">
        <f>0.5659/N101</f>
        <v>1.0882692307692305</v>
      </c>
    </row>
    <row r="107" spans="1:14">
      <c r="A107" s="3252"/>
      <c r="B107" s="2902">
        <v>6</v>
      </c>
      <c r="C107" s="2903">
        <f>0.7608/C101</f>
        <v>1.4630769230769232</v>
      </c>
      <c r="D107" s="2903">
        <f>0.7608/D101</f>
        <v>1.4630769230769232</v>
      </c>
      <c r="E107" s="2903">
        <f>0.6482/E101</f>
        <v>1.2465384615384616</v>
      </c>
      <c r="F107" s="2903">
        <f>0.6482/F101</f>
        <v>1.2465384615384616</v>
      </c>
      <c r="G107" s="2903">
        <f>0.6482/G101</f>
        <v>1.2465384615384616</v>
      </c>
      <c r="H107" s="2903">
        <f>0.6482/H101</f>
        <v>1.2465384615384616</v>
      </c>
      <c r="I107" s="2903">
        <f>0.6482/I101</f>
        <v>1.2465384615384616</v>
      </c>
      <c r="J107" s="2903">
        <f>0.4525/J101</f>
        <v>0.87019230769230771</v>
      </c>
      <c r="K107" s="2903">
        <f>0.4525/K101</f>
        <v>0.87019230769230771</v>
      </c>
      <c r="L107" s="2903">
        <f>0.4525/L101</f>
        <v>0.87019230769230771</v>
      </c>
      <c r="M107" s="2903">
        <f>0.4525/M101</f>
        <v>0.87019230769230771</v>
      </c>
      <c r="N107" s="2903">
        <f>0.4525/N101</f>
        <v>0.87019230769230771</v>
      </c>
    </row>
    <row r="108" spans="1:14">
      <c r="A108" s="3252"/>
      <c r="B108" s="3110"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3"/>
      <c r="B109" s="3111"/>
      <c r="C109" s="2905">
        <f>(-0.163*(C108^2)-0.59*C108+7617)*(10^(-4))/C101</f>
        <v>1.4648076923076923</v>
      </c>
      <c r="D109" s="2905">
        <f>(-0.163*(D108^2)-0.59*D108+7617)*(10^(-4))/D101</f>
        <v>1.4648076923076923</v>
      </c>
      <c r="E109" s="2905">
        <f>(-0.161*(E108^2)-7.509*E108+6533)*(10^(-4))/E101</f>
        <v>1.2563461538461538</v>
      </c>
      <c r="F109" s="2905">
        <f>(-0.161*(F108^2)-7.509*F108+6533)*(10^(-4))/F101</f>
        <v>1.2563461538461538</v>
      </c>
      <c r="G109" s="2905">
        <f>(-0.161*(G108^2)-7.509*G108+6533)*(10^(-4))/G101</f>
        <v>1.2563461538461538</v>
      </c>
      <c r="H109" s="2905">
        <f>(-0.161*(H108^2)-7.509*H108+6533)*(10^(-4))/H101</f>
        <v>1.2563461538461538</v>
      </c>
      <c r="I109" s="2905">
        <f>(-0.161*(I108^2)-7.509*I108+6533)*(10^(-4))/I101</f>
        <v>1.2563461538461538</v>
      </c>
      <c r="J109" s="2905">
        <f>(-0.214*(J108^2)-21.991*J108+4665)*(10^(-4))/J101</f>
        <v>0.89711538461538465</v>
      </c>
      <c r="K109" s="2905">
        <f>(-0.214*(K108^2)-21.991*K108+4665)*(10^(-4))/K101</f>
        <v>0.89711538461538465</v>
      </c>
      <c r="L109" s="2905">
        <f>(-0.214*(L108^2)-21.991*L108+4665)*(10^(-4))/L101</f>
        <v>0.89711538461538465</v>
      </c>
      <c r="M109" s="2905">
        <f>(-0.214*(M108^2)-21.991*M108+4665)*(10^(-4))/M101</f>
        <v>0.89711538461538465</v>
      </c>
      <c r="N109" s="2905">
        <f>(-0.214*(N108^2)-21.991*N108+4665)*(10^(-4))/N101</f>
        <v>0.89711538461538465</v>
      </c>
    </row>
    <row r="110" spans="1:14">
      <c r="A110" s="3249" t="s">
        <v>2983</v>
      </c>
      <c r="B110" s="3249"/>
      <c r="C110" s="3249"/>
      <c r="D110" s="3249"/>
      <c r="E110" s="3249"/>
      <c r="F110" s="3249"/>
      <c r="G110" s="3249"/>
      <c r="H110" s="3249"/>
      <c r="I110" s="3249"/>
      <c r="J110" s="3249"/>
      <c r="K110" s="2908"/>
      <c r="L110" s="2908"/>
      <c r="M110" s="2908"/>
      <c r="N110" s="2908"/>
    </row>
    <row r="112" spans="1:14" ht="13.5" thickBot="1"/>
    <row r="113" spans="1:13" ht="25.5" thickBot="1">
      <c r="A113" s="903" t="s">
        <v>2984</v>
      </c>
      <c r="B113" s="1290">
        <f>G3</f>
        <v>0.52</v>
      </c>
      <c r="C113" s="904" t="s">
        <v>2985</v>
      </c>
      <c r="D113" s="905">
        <f>SUMPRODUCT((A115:A118=F113)*(B114:M114=H113)*B115:M118)</f>
        <v>0</v>
      </c>
      <c r="E113" s="2731" t="s">
        <v>2815</v>
      </c>
      <c r="F113" s="2910">
        <f>E2</f>
        <v>0</v>
      </c>
      <c r="G113" s="2731" t="s">
        <v>2816</v>
      </c>
      <c r="H113" s="2910">
        <f>G2</f>
        <v>0</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2880</v>
      </c>
      <c r="B115" s="910">
        <f>ROUND(0.9335-0.0094*B113,4)</f>
        <v>0.92859999999999998</v>
      </c>
      <c r="C115" s="910">
        <f>B115</f>
        <v>0.92859999999999998</v>
      </c>
      <c r="D115" s="910">
        <f>ROUND(0.8331-0.0109*B113,4)</f>
        <v>0.82740000000000002</v>
      </c>
      <c r="E115" s="910">
        <f>D115</f>
        <v>0.82740000000000002</v>
      </c>
      <c r="F115" s="910">
        <f>E115</f>
        <v>0.82740000000000002</v>
      </c>
      <c r="G115" s="910">
        <f>F115</f>
        <v>0.82740000000000002</v>
      </c>
      <c r="H115" s="910">
        <f>G115</f>
        <v>0.82740000000000002</v>
      </c>
      <c r="I115" s="910">
        <f>ROUND(0.689-0.0155*B113,4)</f>
        <v>0.68089999999999995</v>
      </c>
      <c r="J115" s="910">
        <f t="shared" ref="J115:M118" si="33">I115</f>
        <v>0.68089999999999995</v>
      </c>
      <c r="K115" s="910">
        <f t="shared" si="33"/>
        <v>0.68089999999999995</v>
      </c>
      <c r="L115" s="910">
        <f t="shared" si="33"/>
        <v>0.68089999999999995</v>
      </c>
      <c r="M115" s="911">
        <f t="shared" si="33"/>
        <v>0.68089999999999995</v>
      </c>
    </row>
    <row r="116" spans="1:13">
      <c r="A116" s="909" t="s">
        <v>2881</v>
      </c>
      <c r="B116" s="910">
        <f>ROUND(0.949-0.012*B113,4)</f>
        <v>0.94279999999999997</v>
      </c>
      <c r="C116" s="910">
        <f>B116</f>
        <v>0.94279999999999997</v>
      </c>
      <c r="D116" s="910">
        <f>ROUND(0.8567-0.013*B113,4)</f>
        <v>0.84989999999999999</v>
      </c>
      <c r="E116" s="910">
        <f t="shared" ref="E116:H117" si="34">D116</f>
        <v>0.84989999999999999</v>
      </c>
      <c r="F116" s="910">
        <f t="shared" si="34"/>
        <v>0.84989999999999999</v>
      </c>
      <c r="G116" s="910">
        <f t="shared" si="34"/>
        <v>0.84989999999999999</v>
      </c>
      <c r="H116" s="910">
        <f t="shared" si="34"/>
        <v>0.84989999999999999</v>
      </c>
      <c r="I116" s="910">
        <f>ROUND(0.7694-0.014*B113,4)</f>
        <v>0.7621</v>
      </c>
      <c r="J116" s="910">
        <f t="shared" si="33"/>
        <v>0.7621</v>
      </c>
      <c r="K116" s="910">
        <f t="shared" si="33"/>
        <v>0.7621</v>
      </c>
      <c r="L116" s="910">
        <f t="shared" si="33"/>
        <v>0.7621</v>
      </c>
      <c r="M116" s="911">
        <f t="shared" si="33"/>
        <v>0.7621</v>
      </c>
    </row>
    <row r="117" spans="1:13">
      <c r="A117" s="909" t="s">
        <v>2882</v>
      </c>
      <c r="B117" s="910">
        <f>ROUND(0.8808-0.006*B113,4)</f>
        <v>0.87770000000000004</v>
      </c>
      <c r="C117" s="910">
        <f>B117</f>
        <v>0.87770000000000004</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0.73629999999999995</v>
      </c>
      <c r="J117" s="910">
        <f t="shared" si="33"/>
        <v>0.73629999999999995</v>
      </c>
      <c r="K117" s="910">
        <f t="shared" si="33"/>
        <v>0.73629999999999995</v>
      </c>
      <c r="L117" s="910">
        <f t="shared" si="33"/>
        <v>0.73629999999999995</v>
      </c>
      <c r="M117" s="911">
        <f t="shared" si="33"/>
        <v>0.73629999999999995</v>
      </c>
    </row>
    <row r="118" spans="1:13" ht="13.5" thickBot="1">
      <c r="A118" s="714" t="s">
        <v>2883</v>
      </c>
      <c r="B118" s="912">
        <f>ROUND(0.7275-0.01*B113,4)</f>
        <v>0.72230000000000005</v>
      </c>
      <c r="C118" s="912">
        <f>B118</f>
        <v>0.72230000000000005</v>
      </c>
      <c r="D118" s="912">
        <f>ROUND(0.7043-0.012*B113,4)</f>
        <v>0.69810000000000005</v>
      </c>
      <c r="E118" s="912">
        <f>D118</f>
        <v>0.69810000000000005</v>
      </c>
      <c r="F118" s="912">
        <f>E118</f>
        <v>0.69810000000000005</v>
      </c>
      <c r="G118" s="912">
        <f>ROUND(0.6299-0.0122*B113,4)</f>
        <v>0.62360000000000004</v>
      </c>
      <c r="H118" s="912">
        <f>G118</f>
        <v>0.62360000000000004</v>
      </c>
      <c r="I118" s="912">
        <f>ROUND(0.5667-0.0136*B113,4)</f>
        <v>0.55959999999999999</v>
      </c>
      <c r="J118" s="912">
        <f t="shared" si="33"/>
        <v>0.55959999999999999</v>
      </c>
      <c r="K118" s="912">
        <f t="shared" si="33"/>
        <v>0.55959999999999999</v>
      </c>
      <c r="L118" s="912">
        <f t="shared" si="33"/>
        <v>0.55959999999999999</v>
      </c>
      <c r="M118" s="913">
        <f t="shared" si="33"/>
        <v>0.55959999999999999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t="e">
        <f ca="1">SUMIF(B6:B13,"&lt;&gt;#ref!",B6:B13)</f>
        <v>#DIV/0!</v>
      </c>
      <c r="C2" s="2917" t="s">
        <v>2999</v>
      </c>
      <c r="D2" s="2917" t="s">
        <v>3000</v>
      </c>
      <c r="E2" s="2918">
        <f ca="1">SUMIF(E6:E13,"&lt;&gt;#ref!",E6:E13)</f>
        <v>0</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62" t="s">
        <v>1147</v>
      </c>
      <c r="H1" s="3262"/>
      <c r="I1" s="3262"/>
      <c r="J1" s="3262"/>
      <c r="K1" s="3262"/>
      <c r="L1" s="3262"/>
      <c r="N1" s="3262" t="s">
        <v>1148</v>
      </c>
      <c r="O1" s="3262"/>
      <c r="P1" s="3262"/>
      <c r="Q1" s="3262"/>
      <c r="R1" s="1449"/>
      <c r="S1" s="3262" t="s">
        <v>1149</v>
      </c>
      <c r="T1" s="3262"/>
      <c r="U1" s="3262"/>
      <c r="V1" s="3262"/>
      <c r="X1" s="3261" t="s">
        <v>1150</v>
      </c>
      <c r="Y1" s="3262"/>
      <c r="Z1" s="3262"/>
      <c r="AA1" s="3262"/>
      <c r="AB1" s="3262"/>
      <c r="AD1" s="3261" t="s">
        <v>1151</v>
      </c>
      <c r="AE1" s="3262"/>
      <c r="AF1" s="3262"/>
      <c r="AG1" s="3262"/>
      <c r="AH1" s="326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3041</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3054</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9">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3037</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7035</v>
      </c>
      <c r="E5" s="1962"/>
    </row>
    <row r="6" spans="1:5" ht="15.75">
      <c r="A6" s="1962"/>
      <c r="B6" s="2953"/>
      <c r="C6" s="1965" t="s">
        <v>1620</v>
      </c>
      <c r="D6" s="1043" t="str">
        <f ca="1">NUMBERSTRING(INT(D5*10000),2)&amp;"元整"</f>
        <v>柒仟零叁拾伍万元整</v>
      </c>
      <c r="E6" s="1962"/>
    </row>
    <row r="7" spans="1:5" ht="15.75">
      <c r="A7" s="1962"/>
      <c r="B7" s="2958"/>
      <c r="C7" s="1966" t="s">
        <v>1621</v>
      </c>
      <c r="D7" s="1044">
        <f ca="1">结果表!H102</f>
        <v>9510</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7035</v>
      </c>
      <c r="E13" s="1962"/>
    </row>
    <row r="14" spans="1:5" ht="15.75">
      <c r="A14" s="1962"/>
      <c r="B14" s="2953"/>
      <c r="C14" s="1965" t="s">
        <v>1620</v>
      </c>
      <c r="D14" s="1043" t="str">
        <f ca="1">NUMBERSTRING(INT(D13*10000),2)&amp;"元整"</f>
        <v>柒仟零叁拾伍万元整</v>
      </c>
      <c r="E14" s="1962"/>
    </row>
    <row r="15" spans="1:5" ht="15">
      <c r="A15" s="1962"/>
      <c r="B15" s="2958"/>
      <c r="C15" s="1966" t="s">
        <v>1630</v>
      </c>
      <c r="D15" s="1055">
        <f ca="1">结果表!H108</f>
        <v>9510</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0" t="s">
        <v>3009</v>
      </c>
      <c r="D1" s="3271"/>
      <c r="E1" s="3271"/>
      <c r="F1" s="3271"/>
      <c r="G1" s="3271"/>
      <c r="H1" s="3271"/>
      <c r="I1" s="3271"/>
      <c r="J1" s="3271"/>
      <c r="K1" s="3271"/>
      <c r="L1" s="3271"/>
      <c r="M1" s="3271"/>
      <c r="N1" s="3271"/>
      <c r="O1" s="3271"/>
      <c r="P1" s="3271"/>
      <c r="Q1" s="3271"/>
      <c r="R1" s="3271"/>
      <c r="S1" s="3272"/>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2" t="s">
        <v>33</v>
      </c>
      <c r="D22" s="3133"/>
      <c r="E22" s="3133"/>
      <c r="F22" s="3133"/>
      <c r="G22" s="3133"/>
      <c r="H22" s="3133"/>
      <c r="I22" s="3133"/>
      <c r="J22" s="3133"/>
      <c r="K22" s="3133"/>
      <c r="L22" s="3133"/>
      <c r="M22" s="3133"/>
      <c r="N22" s="3133"/>
      <c r="O22" s="3133"/>
      <c r="P22" s="3133"/>
      <c r="Q22" s="3269"/>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33498</v>
      </c>
      <c r="C2" s="2" t="s">
        <v>133</v>
      </c>
      <c r="D2" s="243"/>
      <c r="E2" s="243"/>
      <c r="F2" s="243"/>
      <c r="G2" s="243"/>
    </row>
    <row r="3" spans="1:7" s="244" customFormat="1" ht="18" customHeight="1" thickBot="1">
      <c r="A3" s="247" t="s">
        <v>85</v>
      </c>
      <c r="B3" s="248">
        <f ca="1">ROUND(B2*10000/'数据-汇总表'!E3,0)</f>
        <v>45282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104</v>
      </c>
      <c r="D10" s="1035">
        <f>'数据-汇总表'!E6</f>
        <v>7397.6099999999988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133</v>
      </c>
      <c r="D19" s="1039">
        <f>'数据-汇总表'!E3</f>
        <v>7397.6099999999988</v>
      </c>
      <c r="E19" s="255">
        <f>'数据-取费表'!B31</f>
        <v>180</v>
      </c>
      <c r="F19" s="275"/>
      <c r="G19" s="1" t="s">
        <v>1071</v>
      </c>
    </row>
    <row r="20" spans="1:7" s="258" customFormat="1" ht="13.5" customHeight="1">
      <c r="A20" s="951" t="s">
        <v>1054</v>
      </c>
      <c r="B20" s="254" t="s">
        <v>104</v>
      </c>
      <c r="C20" s="276">
        <f>ROUND((C5+C19)*F20,0)</f>
        <v>415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3129</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20</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3174</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3174</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2839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2589</v>
      </c>
      <c r="D34" s="261"/>
      <c r="E34" s="264"/>
      <c r="F34" s="301">
        <f>IF('数据-取费表'!B24=0,1,'数据-取费表'!N16)</f>
        <v>1</v>
      </c>
      <c r="G34" s="263" t="s">
        <v>116</v>
      </c>
    </row>
    <row r="35" spans="1:7" ht="13.5" customHeight="1">
      <c r="A35" s="954" t="s">
        <v>796</v>
      </c>
      <c r="B35" s="259" t="s">
        <v>60</v>
      </c>
      <c r="C35" s="264">
        <f>ROUND(C34*F35,0)</f>
        <v>78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133</v>
      </c>
      <c r="D37" s="261">
        <f>'数据-汇总表'!E3</f>
        <v>7397.6099999999988</v>
      </c>
      <c r="E37" s="293">
        <f>'数据-取费表'!B35</f>
        <v>180</v>
      </c>
      <c r="F37" s="303"/>
      <c r="G37" s="305" t="s">
        <v>119</v>
      </c>
    </row>
    <row r="38" spans="1:7" ht="13.5" customHeight="1">
      <c r="A38" s="954" t="s">
        <v>799</v>
      </c>
      <c r="B38" s="259" t="s">
        <v>63</v>
      </c>
      <c r="C38" s="264">
        <f>ROUND(C34*F38,0)</f>
        <v>39</v>
      </c>
      <c r="D38" s="264"/>
      <c r="E38" s="264"/>
      <c r="F38" s="303">
        <f>'数据-取费表'!B36</f>
        <v>1.4999999999999999E-2</v>
      </c>
      <c r="G38" s="263" t="s">
        <v>117</v>
      </c>
    </row>
    <row r="39" spans="1:7" s="258" customFormat="1" ht="13.5" customHeight="1">
      <c r="A39" s="951" t="s">
        <v>783</v>
      </c>
      <c r="B39" s="254" t="s">
        <v>104</v>
      </c>
      <c r="C39" s="276">
        <f>ROUND(C33*F20,0)</f>
        <v>57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209</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205</v>
      </c>
      <c r="D42" s="282"/>
      <c r="E42" s="282"/>
      <c r="F42" s="283"/>
      <c r="G42" s="3137" t="s">
        <v>121</v>
      </c>
    </row>
    <row r="43" spans="1:7" ht="13.5" customHeight="1">
      <c r="A43" s="954" t="s">
        <v>792</v>
      </c>
      <c r="B43" s="259" t="s">
        <v>1061</v>
      </c>
      <c r="C43" s="282">
        <f ca="1">ROUND(IF('数据-取费表'!B22&lt;=1,C39*F22*'数据-取费表'!B21/2,C39*(POWER((1+F22),'数据-取费表'!B21/2)-1)),0)</f>
        <v>4</v>
      </c>
      <c r="D43" s="282"/>
      <c r="E43" s="282"/>
      <c r="F43" s="283"/>
      <c r="G43" s="3138"/>
    </row>
    <row r="44" spans="1:7" ht="13.5" customHeight="1">
      <c r="A44" s="954" t="s">
        <v>793</v>
      </c>
      <c r="B44" s="259" t="s">
        <v>1063</v>
      </c>
      <c r="C44" s="282">
        <f ca="1">ROUND(IF('数据-取费表'!B22&lt;=1,C40*F22*'数据-取费表'!B21/2,C40*(POWER((1+F22),'数据-取费表'!B21/2)-1)),4)</f>
        <v>1.4E-3</v>
      </c>
      <c r="D44" s="282"/>
      <c r="E44" s="282"/>
      <c r="F44" s="283"/>
      <c r="G44" s="3139"/>
    </row>
    <row r="45" spans="1:7" s="258" customFormat="1" ht="13.5" customHeight="1">
      <c r="A45" s="951" t="s">
        <v>786</v>
      </c>
      <c r="B45" s="288" t="s">
        <v>112</v>
      </c>
      <c r="C45" s="289">
        <f>C46</f>
        <v>434</v>
      </c>
      <c r="D45" s="279">
        <f>C47</f>
        <v>3.0000000000000001E-3</v>
      </c>
      <c r="E45" s="280" t="s">
        <v>129</v>
      </c>
      <c r="F45" s="290"/>
      <c r="G45" s="291" t="s">
        <v>1069</v>
      </c>
    </row>
    <row r="46" spans="1:7" s="258" customFormat="1" ht="13.5" customHeight="1">
      <c r="A46" s="954" t="s">
        <v>794</v>
      </c>
      <c r="B46" s="292" t="s">
        <v>1062</v>
      </c>
      <c r="C46" s="293">
        <f>ROUND((C33+C39)*F27,0)</f>
        <v>434</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3837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3722</v>
      </c>
      <c r="D51" s="276"/>
      <c r="E51" s="276"/>
      <c r="F51" s="308"/>
      <c r="G51" s="278" t="s">
        <v>64</v>
      </c>
    </row>
    <row r="52" spans="1:7" s="252" customFormat="1" ht="16.5" thickBot="1">
      <c r="A52" s="309" t="s">
        <v>65</v>
      </c>
      <c r="B52" s="310"/>
      <c r="C52" s="311">
        <f ca="1">C31+C51</f>
        <v>33498</v>
      </c>
      <c r="D52" s="310"/>
      <c r="E52" s="310"/>
      <c r="F52" s="310"/>
      <c r="G52" s="312"/>
    </row>
    <row r="55" spans="1:7" ht="15">
      <c r="B55" s="314" t="s">
        <v>66</v>
      </c>
      <c r="C55" s="315"/>
    </row>
    <row r="56" spans="1:7">
      <c r="B56" s="317" t="s">
        <v>67</v>
      </c>
      <c r="C56" s="318">
        <f ca="1">ROUND(C51/C52,3)</f>
        <v>0.111</v>
      </c>
    </row>
    <row r="57" spans="1:7">
      <c r="B57" s="317" t="s">
        <v>68</v>
      </c>
      <c r="C57" s="319">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7" t="s">
        <v>1634</v>
      </c>
      <c r="E3" s="1047" t="s">
        <v>1640</v>
      </c>
      <c r="F3" s="1047" t="s">
        <v>1634</v>
      </c>
      <c r="G3" s="1047" t="s">
        <v>1635</v>
      </c>
      <c r="H3" s="1047" t="s">
        <v>1634</v>
      </c>
      <c r="I3" s="1047" t="s">
        <v>1635</v>
      </c>
    </row>
    <row r="4" spans="1:9" ht="15">
      <c r="A4" s="1976" t="str">
        <f>项目基本情况!S2</f>
        <v>房地产</v>
      </c>
      <c r="B4" s="1047">
        <f>项目基本情况!C17</f>
        <v>7397.6099999999988</v>
      </c>
      <c r="C4" s="1047">
        <f>项目基本情况!C18</f>
        <v>14160.27</v>
      </c>
      <c r="D4" s="1047">
        <f ca="1">结果表!D118</f>
        <v>542</v>
      </c>
      <c r="E4" s="1047">
        <f ca="1">结果表!E118</f>
        <v>733</v>
      </c>
      <c r="F4" s="1047">
        <f ca="1">结果表!F118</f>
        <v>6493</v>
      </c>
      <c r="G4" s="1047">
        <f ca="1">结果表!G118</f>
        <v>8777</v>
      </c>
      <c r="H4" s="1047">
        <f ca="1">结果表!H118</f>
        <v>7035</v>
      </c>
      <c r="I4" s="1047">
        <f ca="1">结果表!I118</f>
        <v>9510</v>
      </c>
    </row>
    <row r="5" spans="1:9" ht="30" customHeight="1">
      <c r="A5" s="2966" t="s">
        <v>1636</v>
      </c>
      <c r="B5" s="2966"/>
      <c r="C5" s="2966"/>
      <c r="D5" s="2967" t="str">
        <f ca="1">结果表!D119</f>
        <v>伍佰肆拾贰万元整</v>
      </c>
      <c r="E5" s="2967"/>
      <c r="F5" s="2967" t="str">
        <f ca="1">结果表!F119</f>
        <v>陆仟肆佰玖拾叁万元整</v>
      </c>
      <c r="G5" s="2967"/>
      <c r="H5" s="2967" t="str">
        <f ca="1">结果表!H119</f>
        <v>柒仟零叁拾伍万元整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1636</v>
      </c>
      <c r="B7" s="2966"/>
      <c r="C7" s="2966"/>
      <c r="D7" s="2968" t="str">
        <f>结果表!D121</f>
        <v>零元整</v>
      </c>
      <c r="E7" s="2969"/>
      <c r="F7" s="2969"/>
      <c r="G7" s="2969"/>
      <c r="H7" s="2969"/>
      <c r="I7" s="2970"/>
    </row>
    <row r="8" spans="1:9" ht="15.75">
      <c r="A8" s="2965" t="str">
        <f>结果表!A122</f>
        <v>房地产抵押价值</v>
      </c>
      <c r="B8" s="2965"/>
      <c r="C8" s="2965"/>
      <c r="D8" s="2965">
        <f ca="1">结果表!D122</f>
        <v>7035</v>
      </c>
      <c r="E8" s="2965"/>
      <c r="F8" s="2965"/>
      <c r="G8" s="2965"/>
      <c r="H8" s="2965"/>
      <c r="I8" s="2965"/>
    </row>
    <row r="9" spans="1:9" ht="15">
      <c r="A9" s="2966" t="s">
        <v>1636</v>
      </c>
      <c r="B9" s="2966"/>
      <c r="C9" s="2966"/>
      <c r="D9" s="2967" t="str">
        <f ca="1">结果表!D123</f>
        <v>柒仟零叁拾伍万元整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1636</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1658</v>
      </c>
      <c r="B1" s="2979"/>
      <c r="C1" s="2979"/>
      <c r="D1" s="2979"/>
    </row>
    <row r="2" spans="1:4" ht="18">
      <c r="A2" s="2980" t="s">
        <v>1642</v>
      </c>
      <c r="B2" s="2980"/>
      <c r="C2" s="2980"/>
      <c r="D2" s="2980"/>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80" t="s">
        <v>1648</v>
      </c>
      <c r="B6" s="2980"/>
      <c r="C6" s="2980"/>
      <c r="D6" s="298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1" t="s">
        <v>1651</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3"/>
      <c r="C15" s="2973"/>
      <c r="D15" s="2973"/>
    </row>
    <row r="16" spans="1:4" ht="30" customHeight="1">
      <c r="A16" s="2975" t="s">
        <v>1652</v>
      </c>
      <c r="B16" s="2975"/>
      <c r="C16" s="2975"/>
      <c r="D16" s="2975"/>
    </row>
    <row r="17" spans="1:4" ht="144" customHeight="1">
      <c r="A17" s="2975" t="s">
        <v>1653</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1654</v>
      </c>
      <c r="B22" s="2977"/>
      <c r="C22" s="2977"/>
      <c r="D22" s="297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3049</v>
      </c>
      <c r="B14" s="1025">
        <f ca="1">IF(C14&lt;B2,"已过期",1120040230)</f>
        <v>1120040230</v>
      </c>
      <c r="C14" s="2352">
        <v>43835</v>
      </c>
      <c r="D14" s="2355" t="s">
        <v>3049</v>
      </c>
      <c r="E14" s="1025">
        <f ca="1">IF(F14&lt;B2,"已过期",98030020)</f>
        <v>98030020</v>
      </c>
      <c r="F14" s="1033">
        <v>47118</v>
      </c>
    </row>
    <row r="15" spans="1:6" ht="24" customHeight="1">
      <c r="A15" s="1706" t="s">
        <v>3050</v>
      </c>
      <c r="B15" s="1025">
        <f ca="1">IF(C15&lt;B2,"已过期",1120070085)</f>
        <v>1120070085</v>
      </c>
      <c r="C15" s="2352">
        <v>43814</v>
      </c>
      <c r="D15" s="2356" t="s">
        <v>3050</v>
      </c>
      <c r="E15" s="1025">
        <f ca="1">IF(F15&lt;B2,"已过期",2004110128)</f>
        <v>2004110128</v>
      </c>
      <c r="F15" s="1026">
        <v>47118</v>
      </c>
    </row>
    <row r="16" spans="1:6" ht="24" customHeight="1">
      <c r="A16" s="1705" t="s">
        <v>3051</v>
      </c>
      <c r="B16" s="1025">
        <f ca="1">IF(C16&lt;B2,"已过期",1120140022)</f>
        <v>1120140022</v>
      </c>
      <c r="C16" s="2943">
        <v>44029</v>
      </c>
      <c r="D16" s="2355" t="s">
        <v>3051</v>
      </c>
      <c r="E16" s="1025">
        <f ca="1">IF(F16&lt;B2,"已过期",2008110059)</f>
        <v>2008110059</v>
      </c>
      <c r="F16" s="1033">
        <v>47177</v>
      </c>
    </row>
    <row r="17" spans="1:7" ht="24" customHeight="1">
      <c r="A17" s="1705"/>
      <c r="B17" s="1025"/>
      <c r="C17" s="2352"/>
      <c r="D17" s="2355" t="s">
        <v>3052</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2019-05-19T05:26:51Z</dcterms:modified>
</cp:coreProperties>
</file>