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汇总）" sheetId="70" state="hidden" r:id="rId23"/>
    <sheet name="酒店收入计算" sheetId="66" state="hidden" r:id="rId24"/>
    <sheet name="比较法-住宅" sheetId="21" state="hidden" r:id="rId25"/>
    <sheet name="比较法-商业" sheetId="33" r:id="rId26"/>
    <sheet name="收益法 (元)" sheetId="67"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14" i="74" l="1"/>
  <c r="B14" i="74"/>
  <c r="B25" i="31" l="1"/>
  <c r="B26" i="31"/>
  <c r="B27" i="31"/>
  <c r="B28" i="31"/>
  <c r="B29" i="31"/>
  <c r="B24" i="31"/>
  <c r="A25" i="31"/>
  <c r="A26" i="31"/>
  <c r="A27" i="31"/>
  <c r="A28" i="31"/>
  <c r="A29" i="31"/>
  <c r="A24" i="31"/>
  <c r="H18" i="31"/>
  <c r="G18" i="31"/>
  <c r="I47" i="33"/>
  <c r="G47" i="33"/>
  <c r="E47" i="33"/>
  <c r="C36" i="33"/>
  <c r="C33" i="33"/>
  <c r="I7" i="33"/>
  <c r="G7" i="33"/>
  <c r="E7" i="33"/>
  <c r="Y7" i="1" l="1"/>
  <c r="Y6" i="1"/>
  <c r="N7" i="1"/>
  <c r="N6" i="1"/>
  <c r="F20" i="6"/>
  <c r="F19" i="6"/>
  <c r="D3" i="4"/>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E83" i="21"/>
  <c r="S21"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F40" i="69" s="1"/>
  <c r="F20" i="69"/>
  <c r="F39" i="69" s="1"/>
  <c r="E10" i="69"/>
  <c r="E9" i="69"/>
  <c r="C7" i="69"/>
  <c r="AC21" i="37"/>
  <c r="W21" i="37"/>
  <c r="AC21" i="34"/>
  <c r="W21" i="34"/>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R504" i="3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122" i="31"/>
  <c r="S121" i="31"/>
  <c r="S120" i="31"/>
  <c r="S119" i="31"/>
  <c r="S118" i="31"/>
  <c r="S117" i="31"/>
  <c r="S116" i="31"/>
  <c r="S115" i="31"/>
  <c r="S114" i="31"/>
  <c r="S113" i="31"/>
  <c r="S112" i="31"/>
  <c r="S504" i="31"/>
  <c r="S500" i="31"/>
  <c r="S467" i="31"/>
  <c r="S465" i="31"/>
  <c r="S463" i="31"/>
  <c r="S461" i="31"/>
  <c r="S459" i="31"/>
  <c r="S457" i="31"/>
  <c r="S455" i="31"/>
  <c r="S453"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J23" i="33" s="1"/>
  <c r="D81" i="33"/>
  <c r="E81" i="33" s="1"/>
  <c r="F81" i="33" s="1"/>
  <c r="D79" i="33"/>
  <c r="E79" i="33" s="1"/>
  <c r="F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c r="Q42" i="33"/>
  <c r="Z42"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s="1"/>
  <c r="Q23" i="33"/>
  <c r="Z23" i="33"/>
  <c r="Q19" i="33"/>
  <c r="Z19" i="33"/>
  <c r="Q17" i="33"/>
  <c r="Z17" i="33"/>
  <c r="Q15" i="33"/>
  <c r="Z15" i="33"/>
  <c r="Q14" i="33"/>
  <c r="Z14" i="33"/>
  <c r="Q13" i="33"/>
  <c r="Z13" i="33"/>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11" i="33"/>
  <c r="AA11" i="33" s="1"/>
  <c r="U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29" i="33"/>
  <c r="AB29" i="33"/>
  <c r="W38" i="33"/>
  <c r="H41" i="33"/>
  <c r="AB41" i="33" s="1"/>
  <c r="J35" i="33"/>
  <c r="AC35" i="33" s="1"/>
  <c r="S37" i="33"/>
  <c r="AA37" i="33"/>
  <c r="S46" i="33"/>
  <c r="S43" i="33"/>
  <c r="H25" i="33"/>
  <c r="AB25" i="33" s="1"/>
  <c r="F25" i="33"/>
  <c r="F85" i="33"/>
  <c r="G85" i="33" s="1"/>
  <c r="U9"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s="1"/>
  <c r="BL13" i="3"/>
  <c r="E65" i="39"/>
  <c r="G30" i="6"/>
  <c r="G31" i="6" s="1"/>
  <c r="J56" i="9"/>
  <c r="J57" i="9" s="1"/>
  <c r="J59" i="9" s="1"/>
  <c r="J61" i="9" s="1"/>
  <c r="A24" i="51"/>
  <c r="B18" i="72"/>
  <c r="U29" i="34"/>
  <c r="E14" i="6"/>
  <c r="E64" i="39" s="1"/>
  <c r="E5" i="6"/>
  <c r="D9" i="11" s="1"/>
  <c r="C9" i="11" s="1"/>
  <c r="E32" i="6"/>
  <c r="L19" i="6"/>
  <c r="L27" i="6" s="1"/>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6" i="43"/>
  <c r="B63" i="43"/>
  <c r="D23" i="15"/>
  <c r="D22" i="15"/>
  <c r="E4" i="4"/>
  <c r="B5" i="62" s="1"/>
  <c r="B73" i="72" s="1"/>
  <c r="C4" i="4"/>
  <c r="AQ13" i="1"/>
  <c r="AZ13" i="3"/>
  <c r="M6" i="1"/>
  <c r="O6" i="1" s="1"/>
  <c r="P6" i="1" s="1"/>
  <c r="E63" i="39"/>
  <c r="T11" i="1"/>
  <c r="AQ9" i="1"/>
  <c r="AR11"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S25" i="33"/>
  <c r="AA25" i="33"/>
  <c r="J25" i="33"/>
  <c r="F23" i="33"/>
  <c r="AA23" i="33" s="1"/>
  <c r="AC10" i="33"/>
  <c r="W10" i="33"/>
  <c r="AC37" i="21"/>
  <c r="U33" i="21"/>
  <c r="S37" i="21"/>
  <c r="AA23" i="21"/>
  <c r="AB15" i="21"/>
  <c r="J23" i="21"/>
  <c r="F85" i="21"/>
  <c r="G85" i="21"/>
  <c r="H23" i="21"/>
  <c r="S13" i="21"/>
  <c r="D6" i="52"/>
  <c r="K14" i="1"/>
  <c r="M14" i="1"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5" i="33"/>
  <c r="AC25" i="33"/>
  <c r="U23" i="21"/>
  <c r="AB23" i="21"/>
  <c r="AC23" i="21"/>
  <c r="W23" i="21"/>
  <c r="AC11" i="37"/>
  <c r="W11" i="37"/>
  <c r="W11" i="34"/>
  <c r="AC11" i="34"/>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G17" i="43"/>
  <c r="C16" i="43"/>
  <c r="D5" i="43"/>
  <c r="C5" i="43"/>
  <c r="E68" i="39"/>
  <c r="F68" i="39" s="1"/>
  <c r="V16" i="71"/>
  <c r="C16" i="71"/>
  <c r="D17" i="71"/>
  <c r="E41" i="43"/>
  <c r="C41" i="43"/>
  <c r="C20" i="43"/>
  <c r="I59" i="34"/>
  <c r="J59" i="34" s="1"/>
  <c r="D14" i="71"/>
  <c r="T16" i="71"/>
  <c r="D15" i="71"/>
  <c r="D16" i="71"/>
  <c r="U16" i="71"/>
  <c r="E8" i="76"/>
  <c r="F8" i="67"/>
  <c r="J15" i="15"/>
  <c r="F40" i="67"/>
  <c r="AO13" i="1"/>
  <c r="C76" i="67"/>
  <c r="C76" i="15"/>
  <c r="L47" i="15"/>
  <c r="AO8" i="1"/>
  <c r="F37" i="15"/>
  <c r="M28" i="15"/>
  <c r="M27" i="67"/>
  <c r="M29" i="15"/>
  <c r="M29" i="67"/>
  <c r="D2" i="33"/>
  <c r="D2" i="34"/>
  <c r="B7" i="76"/>
  <c r="F16" i="15"/>
  <c r="AO9" i="1"/>
  <c r="F26" i="15"/>
  <c r="F16" i="67"/>
  <c r="F5" i="73"/>
  <c r="M22" i="67"/>
  <c r="D2" i="37"/>
  <c r="F43" i="15"/>
  <c r="F43" i="67"/>
  <c r="F35" i="15"/>
  <c r="F13" i="15"/>
  <c r="M22" i="15"/>
  <c r="E12" i="76"/>
  <c r="M8" i="67"/>
  <c r="B8" i="76"/>
  <c r="M27" i="15"/>
  <c r="E2" i="68"/>
  <c r="F41" i="15"/>
  <c r="AO12" i="1"/>
  <c r="F13" i="67"/>
  <c r="B10" i="76"/>
  <c r="J15" i="67"/>
  <c r="D3" i="73"/>
  <c r="D7" i="73"/>
  <c r="M6" i="15"/>
  <c r="B9" i="76"/>
  <c r="AO10" i="1"/>
  <c r="F37" i="67"/>
  <c r="F26" i="67"/>
  <c r="M9" i="15"/>
  <c r="M23" i="15"/>
  <c r="F42" i="15"/>
  <c r="L47" i="67"/>
  <c r="M24" i="15"/>
  <c r="M28" i="67"/>
  <c r="AO11" i="1"/>
  <c r="B11" i="76"/>
  <c r="L48" i="15"/>
  <c r="F7" i="73"/>
  <c r="F9" i="67"/>
  <c r="F20" i="31"/>
  <c r="D2" i="36"/>
  <c r="D5" i="73"/>
  <c r="M26" i="67"/>
  <c r="E7" i="76"/>
  <c r="M9" i="67"/>
  <c r="F7" i="15"/>
  <c r="B13" i="76"/>
  <c r="F36" i="15"/>
  <c r="F40" i="15"/>
  <c r="AO7" i="1"/>
  <c r="E9" i="76"/>
  <c r="B12" i="76"/>
  <c r="F9" i="15"/>
  <c r="F7" i="67"/>
  <c r="F36" i="67"/>
  <c r="D2" i="35"/>
  <c r="F6" i="73"/>
  <c r="F38" i="15"/>
  <c r="F38" i="67"/>
  <c r="F8" i="15"/>
  <c r="M6" i="67"/>
  <c r="E11" i="76"/>
  <c r="F42" i="67"/>
  <c r="M8" i="15"/>
  <c r="L48" i="67"/>
  <c r="M23" i="67"/>
  <c r="E10" i="76"/>
  <c r="M21" i="15"/>
  <c r="F6" i="15"/>
  <c r="D2" i="21"/>
  <c r="F4" i="73"/>
  <c r="F6" i="67"/>
  <c r="E2" i="69"/>
  <c r="D4" i="73"/>
  <c r="D35" i="9"/>
  <c r="E13" i="76"/>
  <c r="M26" i="15"/>
  <c r="M24" i="67"/>
  <c r="D6" i="73"/>
  <c r="F3" i="73"/>
  <c r="D34" i="9"/>
  <c r="C40" i="11" l="1"/>
  <c r="C40" i="68"/>
  <c r="C40" i="69"/>
  <c r="F83" i="33"/>
  <c r="G83" i="33" s="1"/>
  <c r="F21" i="33"/>
  <c r="S21" i="33" s="1"/>
  <c r="J21" i="33"/>
  <c r="H21" i="33"/>
  <c r="W23" i="33"/>
  <c r="AC23" i="33"/>
  <c r="H23" i="33"/>
  <c r="W43" i="33"/>
  <c r="U43" i="33"/>
  <c r="AA42" i="33"/>
  <c r="S42" i="33"/>
  <c r="J42" i="33"/>
  <c r="AC42" i="33" s="1"/>
  <c r="U41" i="33"/>
  <c r="F36" i="33"/>
  <c r="H111" i="33"/>
  <c r="I111" i="33" s="1"/>
  <c r="J111" i="33" s="1"/>
  <c r="K111" i="33" s="1"/>
  <c r="L111" i="33" s="1"/>
  <c r="M111" i="33" s="1"/>
  <c r="J36" i="33"/>
  <c r="H36" i="33"/>
  <c r="H32" i="33"/>
  <c r="F101" i="33"/>
  <c r="G101" i="33" s="1"/>
  <c r="H101" i="33" s="1"/>
  <c r="I101" i="33" s="1"/>
  <c r="J101" i="33" s="1"/>
  <c r="K101" i="33" s="1"/>
  <c r="L101" i="33" s="1"/>
  <c r="M101" i="33" s="1"/>
  <c r="J32" i="33"/>
  <c r="AC32" i="33" s="1"/>
  <c r="F32" i="33"/>
  <c r="AA32" i="33" s="1"/>
  <c r="F91" i="33"/>
  <c r="J27" i="33"/>
  <c r="W27" i="33" s="1"/>
  <c r="AA21" i="33"/>
  <c r="F19" i="33"/>
  <c r="S19" i="33" s="1"/>
  <c r="H19" i="33"/>
  <c r="AB19" i="33" s="1"/>
  <c r="J19" i="33"/>
  <c r="G81" i="33"/>
  <c r="H17" i="33"/>
  <c r="U17" i="33" s="1"/>
  <c r="J17" i="33"/>
  <c r="G79" i="33"/>
  <c r="F17" i="33"/>
  <c r="AA17" i="33" s="1"/>
  <c r="F77" i="33"/>
  <c r="G77" i="33" s="1"/>
  <c r="J15" i="33"/>
  <c r="AA35" i="33"/>
  <c r="W32" i="33"/>
  <c r="S32" i="33"/>
  <c r="S26" i="33"/>
  <c r="AB17" i="33"/>
  <c r="U42" i="33"/>
  <c r="U39" i="33"/>
  <c r="S39" i="33"/>
  <c r="U37" i="33"/>
  <c r="W35" i="33"/>
  <c r="AA34" i="33"/>
  <c r="AB26" i="33"/>
  <c r="U25" i="33"/>
  <c r="S23" i="33"/>
  <c r="U19" i="33"/>
  <c r="AB10" i="33"/>
  <c r="S9" i="33"/>
  <c r="AA44" i="33"/>
  <c r="W40" i="33"/>
  <c r="S38" i="33"/>
  <c r="AC37" i="33"/>
  <c r="U35" i="33"/>
  <c r="AC28" i="33"/>
  <c r="AB28" i="33"/>
  <c r="B67" i="43"/>
  <c r="B60" i="43"/>
  <c r="B52" i="43"/>
  <c r="B65" i="43"/>
  <c r="C15" i="39"/>
  <c r="C27" i="39"/>
  <c r="P74" i="67"/>
  <c r="C94" i="9"/>
  <c r="C92" i="9"/>
  <c r="F54" i="9"/>
  <c r="F28" i="15"/>
  <c r="C28" i="15" s="1"/>
  <c r="F31" i="12"/>
  <c r="C31" i="12" s="1"/>
  <c r="M18" i="67"/>
  <c r="F30" i="68"/>
  <c r="F48" i="68" s="1"/>
  <c r="C77" i="9"/>
  <c r="C74" i="9" s="1"/>
  <c r="D68" i="9"/>
  <c r="M18" i="15"/>
  <c r="F32" i="15"/>
  <c r="F60" i="15" s="1"/>
  <c r="F30" i="69"/>
  <c r="F32" i="67"/>
  <c r="F60" i="67" s="1"/>
  <c r="F52" i="9"/>
  <c r="F28" i="67"/>
  <c r="C28" i="67" s="1"/>
  <c r="F30" i="11"/>
  <c r="F53" i="9"/>
  <c r="C21" i="68"/>
  <c r="C21" i="69"/>
  <c r="H16" i="1"/>
  <c r="Q16" i="1"/>
  <c r="F27" i="69" s="1"/>
  <c r="C34" i="69"/>
  <c r="C35" i="69" s="1"/>
  <c r="M7" i="1"/>
  <c r="O7" i="1" s="1"/>
  <c r="AQ8" i="1"/>
  <c r="G5" i="3"/>
  <c r="B3" i="3" s="1"/>
  <c r="E395" i="3" s="1"/>
  <c r="E396" i="3"/>
  <c r="E16" i="3"/>
  <c r="E296" i="3"/>
  <c r="E148" i="3"/>
  <c r="E120" i="3"/>
  <c r="E177" i="3"/>
  <c r="E330" i="3"/>
  <c r="Q6" i="3"/>
  <c r="E437" i="3"/>
  <c r="E481" i="3"/>
  <c r="E12" i="6"/>
  <c r="B113" i="43"/>
  <c r="F101" i="43"/>
  <c r="E22" i="43"/>
  <c r="C101" i="43"/>
  <c r="N104" i="46"/>
  <c r="H22" i="43"/>
  <c r="H101" i="43"/>
  <c r="H105" i="43" s="1"/>
  <c r="M101" i="43"/>
  <c r="E101" i="43"/>
  <c r="E107" i="43" s="1"/>
  <c r="AJ11" i="43"/>
  <c r="AJ13" i="43" s="1"/>
  <c r="AF11" i="43"/>
  <c r="AF13" i="43" s="1"/>
  <c r="AB11" i="43"/>
  <c r="AB13" i="43" s="1"/>
  <c r="Z7" i="43"/>
  <c r="AI11" i="43"/>
  <c r="AI13" i="43" s="1"/>
  <c r="AE11" i="43"/>
  <c r="AE13" i="43" s="1"/>
  <c r="AA11" i="43"/>
  <c r="AA13" i="43" s="1"/>
  <c r="S6" i="43"/>
  <c r="T6" i="43" s="1"/>
  <c r="V6" i="43" s="1"/>
  <c r="S4" i="43"/>
  <c r="S7" i="43"/>
  <c r="T7" i="43" s="1"/>
  <c r="V7" i="43" s="1"/>
  <c r="F22" i="43"/>
  <c r="K101" i="43"/>
  <c r="N101" i="43"/>
  <c r="G101" i="43"/>
  <c r="J101" i="43"/>
  <c r="L101" i="43"/>
  <c r="L106" i="43" s="1"/>
  <c r="D101" i="43"/>
  <c r="I101" i="43"/>
  <c r="I103" i="43" s="1"/>
  <c r="G22" i="43"/>
  <c r="S2" i="43"/>
  <c r="T2" i="43" s="1"/>
  <c r="V2" i="43" s="1"/>
  <c r="AH11" i="43"/>
  <c r="AH13" i="43" s="1"/>
  <c r="AD11" i="43"/>
  <c r="AD13" i="43" s="1"/>
  <c r="Z11" i="43"/>
  <c r="Z13" i="43" s="1"/>
  <c r="S5" i="43"/>
  <c r="T5" i="43" s="1"/>
  <c r="V5" i="43" s="1"/>
  <c r="AG11" i="43"/>
  <c r="AG13" i="43" s="1"/>
  <c r="AC11" i="43"/>
  <c r="AC13" i="43" s="1"/>
  <c r="Y11" i="43"/>
  <c r="Y13" i="43" s="1"/>
  <c r="C23" i="43"/>
  <c r="C21" i="43" s="1"/>
  <c r="C29" i="43" s="1"/>
  <c r="S3" i="43"/>
  <c r="J22" i="43"/>
  <c r="D19" i="12"/>
  <c r="C19" i="12" s="1"/>
  <c r="E97" i="3"/>
  <c r="E143" i="3"/>
  <c r="E285" i="3"/>
  <c r="E337" i="3"/>
  <c r="E359" i="3"/>
  <c r="E410" i="3"/>
  <c r="E574" i="3"/>
  <c r="E555" i="3"/>
  <c r="O6" i="3"/>
  <c r="E388" i="3"/>
  <c r="E535" i="3"/>
  <c r="E550" i="3"/>
  <c r="E445" i="3"/>
  <c r="E260" i="3"/>
  <c r="E17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F27" i="6"/>
  <c r="F31" i="6" s="1"/>
  <c r="E56" i="39"/>
  <c r="E51" i="40"/>
  <c r="C36" i="69"/>
  <c r="T8" i="1"/>
  <c r="D107" i="43"/>
  <c r="D104" i="43"/>
  <c r="D103" i="43"/>
  <c r="M16" i="1"/>
  <c r="L16" i="1" s="1"/>
  <c r="F27" i="11"/>
  <c r="AZ18" i="3"/>
  <c r="BA5" i="3"/>
  <c r="AZ5" i="3"/>
  <c r="AY6" i="3" s="1"/>
  <c r="P7" i="1"/>
  <c r="M105" i="43"/>
  <c r="M107" i="43"/>
  <c r="M104" i="43"/>
  <c r="D9" i="68"/>
  <c r="C9" i="68" s="1"/>
  <c r="E16" i="6"/>
  <c r="E59" i="40"/>
  <c r="D9" i="69"/>
  <c r="C9" i="69" s="1"/>
  <c r="O11" i="1"/>
  <c r="P11" i="1" s="1"/>
  <c r="K15" i="1"/>
  <c r="K16" i="1" s="1"/>
  <c r="B29" i="1" s="1"/>
  <c r="C8" i="68" s="1"/>
  <c r="C5" i="68" s="1"/>
  <c r="E30" i="6"/>
  <c r="O9" i="1"/>
  <c r="P9" i="1" s="1"/>
  <c r="O14" i="1"/>
  <c r="P14" i="1" s="1"/>
  <c r="O12" i="1"/>
  <c r="P12" i="1" s="1"/>
  <c r="O8" i="1"/>
  <c r="P8" i="1" s="1"/>
  <c r="E56" i="40"/>
  <c r="D12" i="52"/>
  <c r="D127" i="9"/>
  <c r="D13" i="52" s="1"/>
  <c r="E70" i="39"/>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1" i="71"/>
  <c r="C10" i="71"/>
  <c r="T11" i="43"/>
  <c r="V11" i="43" s="1"/>
  <c r="T12" i="43"/>
  <c r="V12" i="43" s="1"/>
  <c r="Y12" i="71"/>
  <c r="Z12" i="71" s="1"/>
  <c r="Y11" i="71"/>
  <c r="AA12" i="71"/>
  <c r="AB3" i="71"/>
  <c r="C35" i="43"/>
  <c r="E35" i="43" s="1"/>
  <c r="C36" i="43"/>
  <c r="E36" i="43" s="1"/>
  <c r="T9" i="43"/>
  <c r="V9" i="43" s="1"/>
  <c r="C39" i="43"/>
  <c r="C37" i="43"/>
  <c r="E37" i="43" s="1"/>
  <c r="B12" i="71"/>
  <c r="B11" i="71" s="1"/>
  <c r="B10" i="71" s="1"/>
  <c r="B9" i="71" s="1"/>
  <c r="B8" i="71" s="1"/>
  <c r="B7" i="71" s="1"/>
  <c r="B6" i="71" s="1"/>
  <c r="B5" i="71" s="1"/>
  <c r="X12" i="71"/>
  <c r="AB12" i="71"/>
  <c r="T4" i="43"/>
  <c r="V4" i="43" s="1"/>
  <c r="T15" i="43"/>
  <c r="V15" i="43" s="1"/>
  <c r="Z11" i="71"/>
  <c r="Y3" i="71"/>
  <c r="Z3" i="71" s="1"/>
  <c r="D12" i="71"/>
  <c r="F12" i="71"/>
  <c r="F11" i="71" s="1"/>
  <c r="F10" i="71" s="1"/>
  <c r="F9" i="71" s="1"/>
  <c r="F8" i="71" s="1"/>
  <c r="F7" i="71" s="1"/>
  <c r="F6" i="71" s="1"/>
  <c r="F5" i="71" s="1"/>
  <c r="AF3" i="71"/>
  <c r="P22" i="43" s="1"/>
  <c r="C34" i="43"/>
  <c r="T10" i="43"/>
  <c r="V10" i="43" s="1"/>
  <c r="C33" i="43"/>
  <c r="T16" i="43"/>
  <c r="V16" i="43" s="1"/>
  <c r="T13" i="43"/>
  <c r="V13" i="43" s="1"/>
  <c r="T8" i="43"/>
  <c r="V8" i="43" s="1"/>
  <c r="C38" i="43"/>
  <c r="T3" i="43"/>
  <c r="V3"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67"/>
  <c r="C16" i="15"/>
  <c r="C17" i="15"/>
  <c r="C14" i="15"/>
  <c r="G1" i="73"/>
  <c r="F27" i="68" l="1"/>
  <c r="C29" i="68" s="1"/>
  <c r="D27" i="68" s="1"/>
  <c r="F45" i="69"/>
  <c r="C47" i="69"/>
  <c r="D45" i="69" s="1"/>
  <c r="F28" i="12"/>
  <c r="C29" i="12" s="1"/>
  <c r="D28" i="12" s="1"/>
  <c r="C38" i="69"/>
  <c r="E406" i="3"/>
  <c r="E472" i="3"/>
  <c r="E560" i="3"/>
  <c r="K6" i="3"/>
  <c r="E133" i="3"/>
  <c r="E277" i="3"/>
  <c r="E122" i="3"/>
  <c r="E136" i="3"/>
  <c r="E434" i="3"/>
  <c r="E314" i="3"/>
  <c r="E302" i="3"/>
  <c r="E438" i="3"/>
  <c r="E527" i="3"/>
  <c r="E474" i="3"/>
  <c r="E458" i="3"/>
  <c r="E529" i="3"/>
  <c r="E573" i="3"/>
  <c r="E532" i="3"/>
  <c r="E519" i="3"/>
  <c r="E313" i="3"/>
  <c r="E193" i="3"/>
  <c r="E224" i="3"/>
  <c r="E45" i="3"/>
  <c r="E89" i="3"/>
  <c r="E269" i="3"/>
  <c r="E236" i="3"/>
  <c r="E262" i="3"/>
  <c r="E306" i="3"/>
  <c r="AK6" i="3"/>
  <c r="E511" i="3"/>
  <c r="E151" i="3"/>
  <c r="E516" i="3"/>
  <c r="E213" i="3"/>
  <c r="AC27" i="33"/>
  <c r="U21" i="33"/>
  <c r="AB21" i="33"/>
  <c r="W21" i="33"/>
  <c r="AC21" i="33"/>
  <c r="S17" i="33"/>
  <c r="U23" i="33"/>
  <c r="AB23" i="33"/>
  <c r="W42" i="33"/>
  <c r="U36" i="33"/>
  <c r="AB36" i="33"/>
  <c r="W36" i="33"/>
  <c r="AC36" i="33"/>
  <c r="AA36" i="33"/>
  <c r="S36" i="33"/>
  <c r="AB32" i="33"/>
  <c r="U32" i="33"/>
  <c r="F27" i="33"/>
  <c r="G91" i="33"/>
  <c r="H91" i="33" s="1"/>
  <c r="I91" i="33" s="1"/>
  <c r="J91" i="33" s="1"/>
  <c r="K91" i="33" s="1"/>
  <c r="L91" i="33" s="1"/>
  <c r="M91" i="33" s="1"/>
  <c r="H27" i="33"/>
  <c r="AA19" i="33"/>
  <c r="AC19" i="33"/>
  <c r="W19" i="33"/>
  <c r="AC17" i="33"/>
  <c r="W17" i="33"/>
  <c r="AC15" i="33"/>
  <c r="W15" i="33"/>
  <c r="H15" i="33"/>
  <c r="F15" i="33"/>
  <c r="C30" i="68"/>
  <c r="C48" i="68"/>
  <c r="C30" i="11"/>
  <c r="C48" i="11"/>
  <c r="F48" i="69"/>
  <c r="C48" i="69"/>
  <c r="C30" i="69"/>
  <c r="G36" i="43"/>
  <c r="I36" i="43" s="1"/>
  <c r="E109" i="43"/>
  <c r="I106" i="43"/>
  <c r="L103" i="43"/>
  <c r="E105" i="43"/>
  <c r="H106" i="43"/>
  <c r="L105" i="43"/>
  <c r="L102" i="43"/>
  <c r="L104" i="4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156" i="3"/>
  <c r="E196" i="3"/>
  <c r="E244" i="3"/>
  <c r="E368" i="3"/>
  <c r="E453" i="3"/>
  <c r="E549" i="3"/>
  <c r="E536" i="3"/>
  <c r="I6" i="3"/>
  <c r="E568" i="3"/>
  <c r="E397" i="3"/>
  <c r="E229" i="3"/>
  <c r="E569" i="3"/>
  <c r="E239" i="3"/>
  <c r="E17" i="3"/>
  <c r="E361" i="3"/>
  <c r="E503" i="3"/>
  <c r="E509" i="3"/>
  <c r="E431" i="3"/>
  <c r="E201" i="3"/>
  <c r="E353" i="3"/>
  <c r="E495" i="3"/>
  <c r="AN6" i="3"/>
  <c r="E586" i="3"/>
  <c r="E402" i="3"/>
  <c r="E350"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247" i="3"/>
  <c r="E385" i="3"/>
  <c r="AI6" i="3"/>
  <c r="E423" i="3"/>
  <c r="E263" i="3"/>
  <c r="E191" i="3"/>
  <c r="E91" i="3"/>
  <c r="E180" i="3"/>
  <c r="E207" i="3"/>
  <c r="E271" i="3"/>
  <c r="E145" i="3"/>
  <c r="E107" i="3"/>
  <c r="E379" i="3"/>
  <c r="E585" i="3"/>
  <c r="U6" i="3"/>
  <c r="E515" i="3"/>
  <c r="E411" i="3"/>
  <c r="E478" i="3"/>
  <c r="E548" i="3"/>
  <c r="E414" i="3"/>
  <c r="E416" i="3"/>
  <c r="E449" i="3"/>
  <c r="E459" i="3"/>
  <c r="E255" i="3"/>
  <c r="E374" i="3"/>
  <c r="I3" i="6"/>
  <c r="E566" i="3"/>
  <c r="AP6" i="3"/>
  <c r="E500" i="3"/>
  <c r="E554" i="3"/>
  <c r="E582" i="3"/>
  <c r="E517" i="3"/>
  <c r="E413" i="3"/>
  <c r="E435" i="3"/>
  <c r="E460" i="3"/>
  <c r="E491" i="3"/>
  <c r="E520" i="3"/>
  <c r="E417" i="3"/>
  <c r="E436" i="3"/>
  <c r="E479" i="3"/>
  <c r="E39"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183" i="3"/>
  <c r="E579" i="3"/>
  <c r="E518" i="3"/>
  <c r="E578" i="3"/>
  <c r="E382" i="3"/>
  <c r="E245" i="3"/>
  <c r="E254" i="3"/>
  <c r="E221" i="3"/>
  <c r="E252" i="3"/>
  <c r="E204" i="3"/>
  <c r="E164" i="3"/>
  <c r="E327" i="3"/>
  <c r="E576" i="3"/>
  <c r="Z6" i="3"/>
  <c r="AG6" i="3"/>
  <c r="AO6" i="3"/>
  <c r="E448" i="3"/>
  <c r="E485" i="3"/>
  <c r="P6" i="3"/>
  <c r="E400" i="3"/>
  <c r="E432" i="3"/>
  <c r="E443" i="3"/>
  <c r="E477" i="3"/>
  <c r="E345" i="3"/>
  <c r="E367" i="3"/>
  <c r="E558" i="3"/>
  <c r="E505" i="3"/>
  <c r="E557" i="3"/>
  <c r="E547" i="3"/>
  <c r="E581" i="3"/>
  <c r="AS6" i="3"/>
  <c r="E531" i="3"/>
  <c r="E403" i="3"/>
  <c r="E444" i="3"/>
  <c r="E476" i="3"/>
  <c r="E489" i="3"/>
  <c r="E546" i="3"/>
  <c r="E404" i="3"/>
  <c r="E447" i="3"/>
  <c r="E28" i="3"/>
  <c r="E71" i="3"/>
  <c r="E56" i="3"/>
  <c r="E88" i="3"/>
  <c r="E90" i="3"/>
  <c r="E27" i="3"/>
  <c r="E37" i="3"/>
  <c r="E70" i="3"/>
  <c r="E57" i="3"/>
  <c r="E92" i="3"/>
  <c r="E95" i="3"/>
  <c r="E121" i="3"/>
  <c r="E131" i="3"/>
  <c r="E162" i="3"/>
  <c r="E152" i="3"/>
  <c r="E182" i="3"/>
  <c r="E187" i="3"/>
  <c r="E126" i="3"/>
  <c r="E132" i="3"/>
  <c r="E166" i="3"/>
  <c r="E155" i="3"/>
  <c r="E186" i="3"/>
  <c r="E192" i="3"/>
  <c r="E211" i="3"/>
  <c r="E240" i="3"/>
  <c r="E258" i="3"/>
  <c r="E297" i="3"/>
  <c r="E241" i="3"/>
  <c r="E259" i="3"/>
  <c r="E292" i="3"/>
  <c r="E348" i="3"/>
  <c r="E363" i="3"/>
  <c r="E378" i="3"/>
  <c r="E349" i="3"/>
  <c r="E375"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95" i="3"/>
  <c r="E210" i="3"/>
  <c r="E273" i="3"/>
  <c r="E291" i="3"/>
  <c r="E316" i="3"/>
  <c r="E331" i="3"/>
  <c r="E377" i="3"/>
  <c r="E317"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45" i="68"/>
  <c r="N16" i="1"/>
  <c r="F50" i="69" s="1"/>
  <c r="C34" i="11"/>
  <c r="C38" i="11" s="1"/>
  <c r="C34" i="68"/>
  <c r="E57" i="40"/>
  <c r="E62" i="39"/>
  <c r="E66" i="39" s="1"/>
  <c r="E3" i="6"/>
  <c r="D3" i="34" s="1"/>
  <c r="C29" i="69"/>
  <c r="D27" i="69" s="1"/>
  <c r="E27" i="6"/>
  <c r="K21" i="6" s="1"/>
  <c r="M21" i="6" s="1"/>
  <c r="I21" i="6" s="1"/>
  <c r="S21" i="6" s="1"/>
  <c r="I102" i="43"/>
  <c r="D22" i="43"/>
  <c r="D109" i="43"/>
  <c r="D106" i="43"/>
  <c r="D105" i="43"/>
  <c r="D102" i="43"/>
  <c r="J104" i="43"/>
  <c r="J103" i="43"/>
  <c r="J106" i="43"/>
  <c r="J105" i="43"/>
  <c r="J107" i="43"/>
  <c r="J102" i="43"/>
  <c r="J109" i="43"/>
  <c r="N102" i="43"/>
  <c r="N103" i="43"/>
  <c r="N106" i="43"/>
  <c r="N107" i="43"/>
  <c r="N105" i="43"/>
  <c r="N104" i="43"/>
  <c r="N109" i="43"/>
  <c r="M109" i="43"/>
  <c r="M102" i="43"/>
  <c r="M103" i="43"/>
  <c r="M106" i="43"/>
  <c r="C104" i="43"/>
  <c r="C106" i="43"/>
  <c r="C105" i="43"/>
  <c r="C102" i="43"/>
  <c r="C109" i="43"/>
  <c r="C107" i="43"/>
  <c r="C103" i="43"/>
  <c r="F104" i="43"/>
  <c r="F107" i="43"/>
  <c r="F106" i="43"/>
  <c r="F103" i="43"/>
  <c r="F102" i="43"/>
  <c r="F105" i="43"/>
  <c r="F109" i="43"/>
  <c r="I109" i="43"/>
  <c r="I104" i="43"/>
  <c r="I105" i="43"/>
  <c r="I107" i="43"/>
  <c r="L109" i="43"/>
  <c r="L107" i="43"/>
  <c r="G105" i="43"/>
  <c r="G103" i="43"/>
  <c r="G109" i="43"/>
  <c r="G102" i="43"/>
  <c r="G107" i="43"/>
  <c r="G104" i="43"/>
  <c r="G106" i="43"/>
  <c r="K103" i="43"/>
  <c r="K107" i="43"/>
  <c r="K104" i="43"/>
  <c r="K106" i="43"/>
  <c r="K102" i="43"/>
  <c r="K105" i="43"/>
  <c r="K109" i="43"/>
  <c r="E104" i="43"/>
  <c r="E106" i="43"/>
  <c r="E102" i="43"/>
  <c r="E103" i="43"/>
  <c r="H107" i="43"/>
  <c r="H103" i="43"/>
  <c r="H102" i="43"/>
  <c r="H104"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F50" i="68"/>
  <c r="P16" i="1"/>
  <c r="C11" i="12" s="1"/>
  <c r="C15" i="12" s="1"/>
  <c r="C47" i="11"/>
  <c r="D45" i="11" s="1"/>
  <c r="C29" i="11"/>
  <c r="D27" i="11" s="1"/>
  <c r="F50" i="11"/>
  <c r="C15" i="15"/>
  <c r="C18" i="15"/>
  <c r="O16" i="1"/>
  <c r="D3" i="33"/>
  <c r="M18" i="9"/>
  <c r="B118" i="9" s="1"/>
  <c r="B1" i="74" s="1"/>
  <c r="AY103" i="3"/>
  <c r="AY98" i="3"/>
  <c r="AY67" i="3"/>
  <c r="AY82" i="3"/>
  <c r="AY50" i="3"/>
  <c r="AY18" i="3"/>
  <c r="AY196" i="3"/>
  <c r="AY191" i="3"/>
  <c r="AY160" i="3"/>
  <c r="AY171" i="3"/>
  <c r="AY139" i="3"/>
  <c r="AY132" i="3"/>
  <c r="AY289" i="3"/>
  <c r="AY90" i="3"/>
  <c r="AY83" i="3"/>
  <c r="AY66" i="3"/>
  <c r="AY23" i="3"/>
  <c r="AY176" i="3"/>
  <c r="AY155" i="3"/>
  <c r="AY11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51" i="3"/>
  <c r="AY207" i="3"/>
  <c r="AY124"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87" i="3"/>
  <c r="AY144" i="3"/>
  <c r="AY31" i="3"/>
  <c r="AY292" i="3"/>
  <c r="AY147" i="3"/>
  <c r="AY220" i="3"/>
  <c r="AY350" i="3"/>
  <c r="AY486" i="3"/>
  <c r="AY425" i="3"/>
  <c r="AY199" i="3"/>
  <c r="AY244" i="3"/>
  <c r="AY355" i="3"/>
  <c r="AY481" i="3"/>
  <c r="AY404" i="3"/>
  <c r="AY562" i="3"/>
  <c r="BO6" i="3"/>
  <c r="AY89" i="3"/>
  <c r="AY53"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95" i="3"/>
  <c r="AY163" i="3"/>
  <c r="AY75" i="3"/>
  <c r="AY237" i="3"/>
  <c r="AY387" i="3"/>
  <c r="AY334" i="3"/>
  <c r="AY444" i="3"/>
  <c r="AY526" i="3"/>
  <c r="AY269" i="3"/>
  <c r="AY390" i="3"/>
  <c r="AY311" i="3"/>
  <c r="AY447" i="3"/>
  <c r="AY535" i="3"/>
  <c r="AY574" i="3"/>
  <c r="AY555" i="3"/>
  <c r="AY85"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521" i="3"/>
  <c r="AY566" i="3"/>
  <c r="BT6" i="3"/>
  <c r="AY413" i="3"/>
  <c r="AY15" i="3"/>
  <c r="AY583" i="3"/>
  <c r="AY567" i="3"/>
  <c r="J10" i="40"/>
  <c r="AC10" i="40" s="1"/>
  <c r="H10" i="39"/>
  <c r="U10" i="39" s="1"/>
  <c r="F10" i="40"/>
  <c r="S10" i="40" s="1"/>
  <c r="J10" i="39"/>
  <c r="W10" i="39" s="1"/>
  <c r="H10" i="40"/>
  <c r="U10" i="40"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47" i="68" l="1"/>
  <c r="D45" i="68" s="1"/>
  <c r="D3" i="37"/>
  <c r="D37" i="11"/>
  <c r="C37" i="11" s="1"/>
  <c r="K24" i="6"/>
  <c r="M24" i="6" s="1"/>
  <c r="I24" i="6" s="1"/>
  <c r="S24" i="6" s="1"/>
  <c r="D3" i="21"/>
  <c r="D19" i="11"/>
  <c r="C19" i="11" s="1"/>
  <c r="C17" i="4"/>
  <c r="B4" i="52" s="1"/>
  <c r="B43" i="72" s="1"/>
  <c r="D14" i="12"/>
  <c r="C14" i="12" s="1"/>
  <c r="E6" i="6"/>
  <c r="K25" i="6"/>
  <c r="M25" i="6" s="1"/>
  <c r="I25" i="6" s="1"/>
  <c r="S25" i="6" s="1"/>
  <c r="AC6" i="3"/>
  <c r="H6" i="3"/>
  <c r="E6" i="3" s="1"/>
  <c r="AB27" i="33"/>
  <c r="U27" i="33"/>
  <c r="AA27" i="33"/>
  <c r="S27" i="33"/>
  <c r="AA15" i="33"/>
  <c r="S15" i="33"/>
  <c r="AB15" i="33"/>
  <c r="U15" i="33"/>
  <c r="C19" i="15"/>
  <c r="C20" i="15" s="1"/>
  <c r="C26" i="15" s="1"/>
  <c r="AA10" i="40"/>
  <c r="K19" i="6"/>
  <c r="K20" i="6"/>
  <c r="C35" i="11"/>
  <c r="C33" i="11" s="1"/>
  <c r="C39" i="11" s="1"/>
  <c r="C46" i="11" s="1"/>
  <c r="C45" i="11" s="1"/>
  <c r="C12" i="12"/>
  <c r="C35" i="68"/>
  <c r="C38" i="68"/>
  <c r="C115" i="43"/>
  <c r="D113" i="43" s="1"/>
  <c r="K22" i="6"/>
  <c r="M22" i="6" s="1"/>
  <c r="I22" i="6" s="1"/>
  <c r="S22" i="6" s="1"/>
  <c r="K26" i="6"/>
  <c r="M26" i="6" s="1"/>
  <c r="I26" i="6" s="1"/>
  <c r="S26" i="6" s="1"/>
  <c r="K23" i="6"/>
  <c r="M23" i="6" s="1"/>
  <c r="I23" i="6" s="1"/>
  <c r="S23" i="6" s="1"/>
  <c r="E31" i="6"/>
  <c r="D19" i="6"/>
  <c r="M19" i="9" s="1"/>
  <c r="C118" i="9" s="1"/>
  <c r="B2" i="74" s="1"/>
  <c r="D26" i="6"/>
  <c r="C18" i="4"/>
  <c r="D8" i="6"/>
  <c r="D23" i="6"/>
  <c r="D14" i="6"/>
  <c r="D5" i="6"/>
  <c r="D12" i="6"/>
  <c r="D11" i="6"/>
  <c r="D13" i="6"/>
  <c r="D28" i="6"/>
  <c r="E61" i="40"/>
  <c r="H26" i="6"/>
  <c r="D15" i="6"/>
  <c r="D21" i="6"/>
  <c r="D20" i="6"/>
  <c r="D6" i="6"/>
  <c r="D10" i="6"/>
  <c r="D29" i="6"/>
  <c r="H24" i="6"/>
  <c r="D25" i="6"/>
  <c r="D22" i="6"/>
  <c r="D24" i="6"/>
  <c r="D9" i="6"/>
  <c r="H25" i="6"/>
  <c r="H21" i="6"/>
  <c r="C20" i="11"/>
  <c r="C28" i="11" s="1"/>
  <c r="C27" i="11" s="1"/>
  <c r="D10" i="68"/>
  <c r="D10" i="11"/>
  <c r="C10" i="11" s="1"/>
  <c r="D10" i="69"/>
  <c r="D20" i="12"/>
  <c r="C20" i="12" s="1"/>
  <c r="C18" i="12" s="1"/>
  <c r="AC10" i="39"/>
  <c r="C7" i="74"/>
  <c r="C8" i="74"/>
  <c r="W10" i="40"/>
  <c r="AB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D17" i="12" l="1"/>
  <c r="C17" i="12" s="1"/>
  <c r="F69" i="67"/>
  <c r="J29" i="67"/>
  <c r="C16" i="12"/>
  <c r="M20" i="6"/>
  <c r="I20" i="6" s="1"/>
  <c r="S7" i="1"/>
  <c r="S6" i="1"/>
  <c r="K27" i="6"/>
  <c r="M19" i="6"/>
  <c r="H22" i="6"/>
  <c r="R22" i="6" s="1"/>
  <c r="H23" i="6"/>
  <c r="R23" i="6" s="1"/>
  <c r="D30" i="6"/>
  <c r="D16" i="6"/>
  <c r="R24" i="6"/>
  <c r="R25" i="6"/>
  <c r="C10" i="69"/>
  <c r="C8" i="69" s="1"/>
  <c r="C5" i="69" s="1"/>
  <c r="C23" i="69" s="1"/>
  <c r="D19" i="69"/>
  <c r="C10" i="68"/>
  <c r="D19" i="68"/>
  <c r="A7" i="51"/>
  <c r="B7" i="72" s="1"/>
  <c r="C4" i="52"/>
  <c r="B45" i="72" s="1"/>
  <c r="A10" i="51"/>
  <c r="B9" i="72" s="1"/>
  <c r="D27" i="6"/>
  <c r="R21" i="6"/>
  <c r="R26" i="6"/>
  <c r="D8" i="74"/>
  <c r="D7" i="74"/>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E2" i="76"/>
  <c r="B2" i="43"/>
  <c r="C60" i="15"/>
  <c r="C66" i="15"/>
  <c r="C23" i="15"/>
  <c r="C29" i="15" s="1"/>
  <c r="C26" i="69"/>
  <c r="D22" i="69" s="1"/>
  <c r="C44" i="69"/>
  <c r="D41" i="69" s="1"/>
  <c r="C44" i="68"/>
  <c r="D41" i="68" s="1"/>
  <c r="C23" i="68"/>
  <c r="C26" i="68"/>
  <c r="D22" i="68" s="1"/>
  <c r="C26" i="12"/>
  <c r="D25" i="12" s="1"/>
  <c r="C44" i="11"/>
  <c r="D41" i="11" s="1"/>
  <c r="C23" i="11"/>
  <c r="C24" i="11"/>
  <c r="C43" i="11"/>
  <c r="C25" i="11"/>
  <c r="C26" i="11"/>
  <c r="D22" i="11" s="1"/>
  <c r="C42" i="11"/>
  <c r="C38" i="67"/>
  <c r="C38" i="15"/>
  <c r="C66" i="67"/>
  <c r="C60" i="67"/>
  <c r="B6" i="76"/>
  <c r="C17" i="67"/>
  <c r="C14" i="67"/>
  <c r="C21" i="12" l="1"/>
  <c r="C15" i="67"/>
  <c r="C18" i="67"/>
  <c r="E6" i="70"/>
  <c r="E2" i="70" s="1"/>
  <c r="I19" i="6"/>
  <c r="L18" i="9" s="1"/>
  <c r="M27" i="6"/>
  <c r="AR7" i="1"/>
  <c r="T7" i="1"/>
  <c r="AQ7" i="1"/>
  <c r="S16" i="1"/>
  <c r="T6" i="1"/>
  <c r="AR6" i="1"/>
  <c r="AQ6" i="1"/>
  <c r="S20" i="6"/>
  <c r="H20" i="6"/>
  <c r="R20" i="6" s="1"/>
  <c r="R7" i="1" s="1"/>
  <c r="D31" i="6"/>
  <c r="I5" i="6" s="1"/>
  <c r="C22" i="12"/>
  <c r="C27" i="12" s="1"/>
  <c r="C25" i="12" s="1"/>
  <c r="I6" i="6"/>
  <c r="C19" i="68"/>
  <c r="D37" i="68"/>
  <c r="C37" i="68" s="1"/>
  <c r="C33" i="68" s="1"/>
  <c r="C19" i="69"/>
  <c r="C24" i="69" s="1"/>
  <c r="D37" i="69"/>
  <c r="C37" i="69" s="1"/>
  <c r="C33" i="69" s="1"/>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41" i="11"/>
  <c r="C49" i="11" s="1"/>
  <c r="C51" i="11" s="1"/>
  <c r="C22" i="11"/>
  <c r="C31" i="11" s="1"/>
  <c r="C33" i="67"/>
  <c r="J19" i="67"/>
  <c r="C19" i="67" l="1"/>
  <c r="C20" i="67" s="1"/>
  <c r="C26" i="67" s="1"/>
  <c r="C20" i="69"/>
  <c r="C25" i="69" s="1"/>
  <c r="C22" i="69" s="1"/>
  <c r="T16" i="1"/>
  <c r="H19" i="6"/>
  <c r="L19" i="9" s="1"/>
  <c r="S19" i="6"/>
  <c r="S27" i="6" s="1"/>
  <c r="I27" i="6"/>
  <c r="C39" i="69"/>
  <c r="C43" i="69" s="1"/>
  <c r="C42" i="69"/>
  <c r="C39" i="68"/>
  <c r="C42" i="68"/>
  <c r="C30" i="12"/>
  <c r="C28" i="12" s="1"/>
  <c r="C32" i="12" s="1"/>
  <c r="B2" i="12" s="1"/>
  <c r="B3" i="12" s="1"/>
  <c r="C20" i="68"/>
  <c r="C25" i="68" s="1"/>
  <c r="C24" i="68"/>
  <c r="D5" i="71"/>
  <c r="M20" i="43"/>
  <c r="K70" i="39"/>
  <c r="L68" i="39"/>
  <c r="I63" i="40"/>
  <c r="H65" i="40"/>
  <c r="I58" i="21"/>
  <c r="J58" i="21" s="1"/>
  <c r="K58" i="21" s="1"/>
  <c r="L58" i="21" s="1"/>
  <c r="M58" i="21" s="1"/>
  <c r="N58" i="21" s="1"/>
  <c r="O58" i="21" s="1"/>
  <c r="H7" i="21" s="1"/>
  <c r="J7" i="21"/>
  <c r="F7" i="21"/>
  <c r="J48" i="35"/>
  <c r="C52" i="11"/>
  <c r="B2" i="11" s="1"/>
  <c r="B3" i="11" s="1"/>
  <c r="Q48" i="15"/>
  <c r="L46" i="15"/>
  <c r="C64" i="15"/>
  <c r="C59" i="15"/>
  <c r="C56" i="15"/>
  <c r="C65" i="15" s="1"/>
  <c r="Q70" i="15"/>
  <c r="C37" i="15"/>
  <c r="C30" i="15" s="1"/>
  <c r="C39" i="15" s="1"/>
  <c r="C75" i="15"/>
  <c r="J22" i="15"/>
  <c r="J13" i="15"/>
  <c r="J23" i="15" s="1"/>
  <c r="L51" i="15"/>
  <c r="C28" i="69" l="1"/>
  <c r="C27" i="69" s="1"/>
  <c r="C31" i="69" s="1"/>
  <c r="C23" i="67"/>
  <c r="C29" i="67" s="1"/>
  <c r="C22" i="68"/>
  <c r="C41" i="69"/>
  <c r="H27" i="6"/>
  <c r="R19" i="6"/>
  <c r="C46" i="69"/>
  <c r="C45" i="69" s="1"/>
  <c r="C28" i="68"/>
  <c r="C27" i="68" s="1"/>
  <c r="C46" i="68"/>
  <c r="C45" i="68" s="1"/>
  <c r="C43" i="68"/>
  <c r="C41"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C80" i="15"/>
  <c r="C79" i="15" s="1"/>
  <c r="Q69" i="15"/>
  <c r="Q68" i="15" s="1"/>
  <c r="C40" i="15"/>
  <c r="C31" i="68" l="1"/>
  <c r="C36" i="67"/>
  <c r="J14" i="67"/>
  <c r="Q49" i="67"/>
  <c r="C13" i="67"/>
  <c r="C57" i="67"/>
  <c r="J59" i="67"/>
  <c r="J60" i="67" s="1"/>
  <c r="Q48" i="67" s="1"/>
  <c r="C49" i="69"/>
  <c r="C51" i="69" s="1"/>
  <c r="C52" i="69" s="1"/>
  <c r="B2" i="69" s="1"/>
  <c r="B3" i="69" s="1"/>
  <c r="C49" i="68"/>
  <c r="C51" i="68" s="1"/>
  <c r="R6" i="1"/>
  <c r="R27" i="6"/>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F35" i="67"/>
  <c r="M21" i="67"/>
  <c r="C52" i="68" l="1"/>
  <c r="B2" i="68" s="1"/>
  <c r="B3" i="68" s="1"/>
  <c r="C75" i="67"/>
  <c r="C37" i="67"/>
  <c r="C56" i="67"/>
  <c r="C65" i="67" s="1"/>
  <c r="Q70" i="67"/>
  <c r="J22" i="67"/>
  <c r="J13" i="67"/>
  <c r="J23" i="67" s="1"/>
  <c r="C61" i="67"/>
  <c r="C64" i="67"/>
  <c r="J20" i="67"/>
  <c r="J17" i="67" s="1"/>
  <c r="F63" i="67"/>
  <c r="C62" i="67" s="1"/>
  <c r="C34" i="67"/>
  <c r="C31" i="67" s="1"/>
  <c r="R16" i="1"/>
  <c r="C57" i="69"/>
  <c r="C56" i="69" s="1"/>
  <c r="C57" i="68"/>
  <c r="C56" i="68" s="1"/>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C30" i="67" l="1"/>
  <c r="C39" i="67" s="1"/>
  <c r="C80" i="67" s="1"/>
  <c r="C79" i="67" s="1"/>
  <c r="J16" i="67"/>
  <c r="J25" i="67" s="1"/>
  <c r="C59" i="67"/>
  <c r="C58" i="67" s="1"/>
  <c r="C67" i="67" s="1"/>
  <c r="C68" i="67" s="1"/>
  <c r="C71" i="67" s="1"/>
  <c r="C102" i="9"/>
  <c r="C21" i="9"/>
  <c r="B3" i="21"/>
  <c r="L57" i="67"/>
  <c r="L60" i="67" s="1"/>
  <c r="H7" i="39"/>
  <c r="J7" i="39"/>
  <c r="AA7" i="39"/>
  <c r="R47" i="39" s="1"/>
  <c r="S7" i="39"/>
  <c r="R39" i="35"/>
  <c r="E38" i="35"/>
  <c r="M63" i="40"/>
  <c r="L65" i="40"/>
  <c r="C20" i="9"/>
  <c r="C40" i="67" l="1"/>
  <c r="C83" i="67" s="1"/>
  <c r="C82" i="67" s="1"/>
  <c r="Q69" i="67"/>
  <c r="Q68" i="67" s="1"/>
  <c r="C103" i="9"/>
  <c r="L46" i="67"/>
  <c r="Q57" i="67"/>
  <c r="Q66" i="67"/>
  <c r="E47" i="39"/>
  <c r="R48" i="39"/>
  <c r="W7" i="39"/>
  <c r="AC7" i="39"/>
  <c r="V47" i="39" s="1"/>
  <c r="I47" i="39" s="1"/>
  <c r="U7" i="39"/>
  <c r="AB7" i="39"/>
  <c r="T47" i="39" s="1"/>
  <c r="G47" i="39" s="1"/>
  <c r="C39" i="35"/>
  <c r="B2" i="35" s="1"/>
  <c r="B3" i="35" s="1"/>
  <c r="C38" i="35"/>
  <c r="N63" i="40"/>
  <c r="M65" i="40"/>
  <c r="E43" i="35"/>
  <c r="F43" i="35" s="1"/>
  <c r="E42" i="35"/>
  <c r="F42" i="35" s="1"/>
  <c r="I43" i="35"/>
  <c r="J43" i="35" s="1"/>
  <c r="L51" i="67"/>
  <c r="Q67" i="67" l="1"/>
  <c r="D2" i="67"/>
  <c r="B2" i="67" s="1"/>
  <c r="Q65" i="67"/>
  <c r="Q75" i="67" s="1"/>
  <c r="C43" i="67"/>
  <c r="Q56" i="67"/>
  <c r="Q62" i="67" s="1"/>
  <c r="C45" i="67"/>
  <c r="C46" i="67" s="1"/>
  <c r="Q47" i="67"/>
  <c r="Q53" i="67" s="1"/>
  <c r="E52" i="39"/>
  <c r="F52" i="39" s="1"/>
  <c r="E51" i="39"/>
  <c r="F51" i="39" s="1"/>
  <c r="G51" i="39"/>
  <c r="H51" i="39" s="1"/>
  <c r="G52" i="39"/>
  <c r="H52" i="39" s="1"/>
  <c r="I51" i="39"/>
  <c r="J51" i="39" s="1"/>
  <c r="I52" i="39"/>
  <c r="J52" i="39" s="1"/>
  <c r="C48" i="39"/>
  <c r="C47" i="39"/>
  <c r="O63" i="40"/>
  <c r="O65" i="40" s="1"/>
  <c r="N65" i="40"/>
  <c r="AO6" i="1"/>
  <c r="D19" i="9"/>
  <c r="B3" i="67" l="1"/>
  <c r="D102" i="9"/>
  <c r="D21" i="9"/>
  <c r="D22" i="9"/>
  <c r="G19" i="9"/>
  <c r="B6" i="70"/>
  <c r="B2" i="70" s="1"/>
  <c r="B3" i="70"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D103" i="9" l="1"/>
  <c r="G20" i="9"/>
  <c r="G21" i="9"/>
  <c r="U7" i="40"/>
  <c r="AB7" i="40"/>
  <c r="T42" i="40" s="1"/>
  <c r="G42" i="40" s="1"/>
  <c r="AA7" i="40"/>
  <c r="R42" i="40" s="1"/>
  <c r="S7" i="40"/>
  <c r="AC7" i="40"/>
  <c r="V42" i="40" s="1"/>
  <c r="I42" i="40" s="1"/>
  <c r="W7" i="40"/>
  <c r="R24" i="31" l="1"/>
  <c r="S24" i="31" s="1"/>
  <c r="C32" i="9"/>
  <c r="C35" i="9" s="1"/>
  <c r="C34" i="9" s="1"/>
  <c r="I46" i="40"/>
  <c r="J46" i="40" s="1"/>
  <c r="R43" i="40"/>
  <c r="E42" i="40"/>
  <c r="G47" i="40"/>
  <c r="H47" i="40" s="1"/>
  <c r="G46" i="40"/>
  <c r="H46" i="40" s="1"/>
  <c r="R25" i="31" l="1"/>
  <c r="S25" i="31" s="1"/>
  <c r="R27" i="31"/>
  <c r="S27" i="31" s="1"/>
  <c r="R28" i="31"/>
  <c r="S28" i="31" s="1"/>
  <c r="R26" i="31"/>
  <c r="S26" i="31" s="1"/>
  <c r="R29" i="31"/>
  <c r="S29" i="31" s="1"/>
  <c r="C42" i="40"/>
  <c r="C43" i="40"/>
  <c r="E47" i="40"/>
  <c r="F47" i="40" s="1"/>
  <c r="E46" i="40"/>
  <c r="F46" i="40" s="1"/>
  <c r="I47" i="40"/>
  <c r="J47" i="40" s="1"/>
  <c r="S22" i="31" l="1"/>
  <c r="B20" i="31" s="1"/>
  <c r="D14" i="74" s="1"/>
  <c r="G14" i="74"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1" i="31"/>
  <c r="I50" i="33"/>
  <c r="B5" i="74"/>
  <c r="C5" i="74" s="1"/>
  <c r="E14" i="74"/>
  <c r="F14" i="74"/>
  <c r="B6" i="74"/>
  <c r="C6" i="74" s="1"/>
  <c r="D5" i="74" l="1"/>
  <c r="D6"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<sst xmlns="http://schemas.openxmlformats.org/spreadsheetml/2006/main" count="7414" uniqueCount="3121">
  <si>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</si>
  <si>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</si>
  <si>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</si>
  <si>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</si>
  <si>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</si>
  <si>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</si>
  <si>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</si>
  <si>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</si>
  <si>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</si>
  <si>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</si>
  <si>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</si>
  <si>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</si>
  <si>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</si>
  <si>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</si>
  <si>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</si>
  <si>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</si>
  <si>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</si>
  <si>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</si>
  <si>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</si>
  <si>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</si>
  <si>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</si>
  <si>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</si>
  <si>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</si>
  <si>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</si>
  <si>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</si>
  <si>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</si>
  <si>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</si>
  <si>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</si>
  <si>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</si>
  <si>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</si>
  <si>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</si>
  <si>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</si>
  <si>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</si>
  <si>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</si>
  <si>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</si>
  <si>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</si>
  <si>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</si>
  <si>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</si>
  <si>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</si>
  <si>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</si>
  <si>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</si>
  <si>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</si>
  <si>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</si>
  <si>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</si>
  <si>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</si>
  <si>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</si>
  <si>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</si>
  <si>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</si>
  <si>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</si>
  <si>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</si>
  <si>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</si>
  <si>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</si>
  <si>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</si>
  <si>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</si>
  <si>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</si>
  <si>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</si>
  <si>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</si>
  <si>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</si>
  <si>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</si>
  <si>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</si>
  <si>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</si>
  <si>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</si>
  <si>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</si>
  <si>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</si>
  <si>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</si>
  <si>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</si>
  <si>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</si>
  <si>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</si>
  <si>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</si>
  <si>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</si>
  <si>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</si>
  <si>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</si>
  <si>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</si>
  <si>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</si>
  <si>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</si>
  <si>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</si>
  <si>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</si>
  <si>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</si>
  <si>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</si>
  <si>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</si>
  <si>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</si>
  <si>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</si>
  <si>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</si>
  <si>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</si>
  <si>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</si>
  <si>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</si>
  <si>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</si>
  <si>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</si>
  <si>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</si>
  <si>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</si>
  <si>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</si>
  <si>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</si>
  <si>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</si>
  <si>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</si>
  <si>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</si>
  <si>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</si>
  <si>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</si>
  <si>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</si>
  <si>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</si>
  <si>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</si>
  <si>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</si>
  <si>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</si>
  <si>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</si>
  <si>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</si>
  <si>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</si>
  <si>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</si>
  <si>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</si>
  <si>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</si>
  <si>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</si>
  <si>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</si>
  <si>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</si>
  <si>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</si>
  <si>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</si>
  <si>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</si>
  <si>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</si>
  <si>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</si>
  <si>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</si>
  <si>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</si>
  <si>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</si>
  <si>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</si>
  <si>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</si>
  <si>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</si>
  <si>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</si>
  <si>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</si>
  <si>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</si>
  <si>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</si>
  <si>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</si>
  <si>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</si>
  <si>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</si>
  <si>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</si>
  <si>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</si>
  <si>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</si>
  <si>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</si>
  <si>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</si>
  <si>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</si>
  <si>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</si>
  <si>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</si>
  <si>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</si>
  <si>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</si>
  <si>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</si>
  <si>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</si>
  <si>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</si>
  <si>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</si>
  <si>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</si>
  <si>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</si>
  <si>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</si>
  <si>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</si>
  <si>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</si>
  <si>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</si>
  <si>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</si>
  <si>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</si>
  <si>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</si>
  <si>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</si>
  <si>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</si>
  <si>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</si>
  <si>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</si>
  <si>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</si>
  <si>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</si>
  <si>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</si>
  <si>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</si>
  <si>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</si>
  <si>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</si>
  <si>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</si>
  <si>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</si>
  <si>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</si>
  <si>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</si>
  <si>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</si>
  <si>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</si>
  <si>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</si>
  <si>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</si>
  <si>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</si>
  <si>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</si>
  <si>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</si>
  <si>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</si>
  <si>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</si>
  <si>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</si>
  <si>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</si>
  <si>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</si>
  <si>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</si>
  <si>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</si>
  <si>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</si>
  <si>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</si>
  <si>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</si>
  <si>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</si>
  <si>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</si>
  <si>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</si>
  <si>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</si>
  <si>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</si>
  <si>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</si>
  <si>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</si>
  <si>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</si>
  <si>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</si>
  <si>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</si>
  <si>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</si>
  <si>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</si>
  <si>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</si>
  <si>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</si>
  <si>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</si>
  <si>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</si>
  <si>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</si>
  <si>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</si>
  <si>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</si>
  <si>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</si>
  <si>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</si>
  <si>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</si>
  <si>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</si>
  <si>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</si>
  <si>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</si>
  <si>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</si>
  <si>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</si>
  <si>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</si>
  <si>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</si>
  <si>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</si>
  <si>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</si>
  <si>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</si>
  <si>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</si>
  <si>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</si>
  <si>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</si>
  <si>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</si>
  <si>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</si>
  <si>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</si>
  <si>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</si>
  <si>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</si>
  <si>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</si>
  <si>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</si>
  <si>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</si>
  <si>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</si>
  <si>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</si>
  <si>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</si>
  <si>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</si>
  <si>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</si>
  <si>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</si>
  <si>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</si>
  <si>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</si>
  <si>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</si>
  <si>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</si>
  <si>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</si>
  <si>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</si>
  <si>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</si>
  <si>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</si>
  <si>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</si>
  <si>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</si>
  <si>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</si>
  <si>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</si>
  <si>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</si>
  <si>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</si>
  <si>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</si>
  <si>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</si>
  <si>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</si>
  <si>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</si>
  <si>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</si>
  <si>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</si>
  <si>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</si>
  <si>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</si>
  <si>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</si>
  <si>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</si>
  <si>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</si>
  <si>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</si>
  <si>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</si>
  <si>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</si>
  <si>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</si>
  <si>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</si>
  <si>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</si>
  <si>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</si>
  <si>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</si>
  <si>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</si>
  <si>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</si>
  <si>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</si>
  <si>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</si>
  <si>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</si>
  <si>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</si>
  <si>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</si>
  <si>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</si>
  <si>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</si>
  <si>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</si>
  <si>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</si>
  <si>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</si>
  <si>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</si>
  <si>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</si>
  <si>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</si>
  <si>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</si>
  <si>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</si>
  <si>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</si>
  <si>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</si>
  <si>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</si>
  <si>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</si>
  <si>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</si>
  <si>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</si>
  <si>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</si>
  <si>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</si>
  <si>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</si>
  <si>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</si>
  <si>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</si>
  <si>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</si>
  <si>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</si>
  <si>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</si>
  <si>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</si>
  <si>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</si>
  <si>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</si>
  <si>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</si>
  <si>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</si>
  <si>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</si>
  <si>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</si>
  <si>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</si>
  <si>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</si>
  <si>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</si>
  <si>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</si>
  <si>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</si>
  <si>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</si>
  <si>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</si>
  <si>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</si>
  <si>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</si>
  <si>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</si>
  <si>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</si>
  <si>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</si>
  <si>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</si>
  <si>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</si>
  <si>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</si>
  <si>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</si>
  <si>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</si>
  <si>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</si>
  <si>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</si>
  <si>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</si>
  <si>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</si>
  <si>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</si>
  <si>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</si>
  <si>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</si>
  <si>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</si>
  <si>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</si>
  <si>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</si>
  <si>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</si>
  <si>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</si>
  <si>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</si>
  <si>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</si>
  <si>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</si>
  <si>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</si>
  <si>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</si>
  <si>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</si>
  <si>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</si>
  <si>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</si>
  <si>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</si>
  <si>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</si>
  <si>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</si>
  <si>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</si>
  <si>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</si>
  <si>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</si>
  <si>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</si>
  <si>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</si>
  <si>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</si>
  <si>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</si>
  <si>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</si>
  <si>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</si>
  <si>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</si>
  <si>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</si>
  <si>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</si>
  <si>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</si>
  <si>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</si>
  <si>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</si>
  <si>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</si>
  <si>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</si>
  <si>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</si>
  <si>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</si>
  <si>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</si>
  <si>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</si>
  <si>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</si>
  <si>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</si>
  <si>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</si>
  <si>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</si>
  <si>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</si>
  <si>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</si>
  <si>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</si>
  <si>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</si>
  <si>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</si>
  <si>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</si>
  <si>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</si>
  <si>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</si>
  <si>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</si>
  <si>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</si>
  <si>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</si>
  <si>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</si>
  <si>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</si>
  <si>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</si>
  <si>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</si>
  <si>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</si>
  <si>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</si>
  <si>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</si>
  <si>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</si>
  <si>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</si>
  <si>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</si>
  <si>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</si>
  <si>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</si>
  <si>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</si>
  <si>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</si>
  <si>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</si>
  <si>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</si>
  <si>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</si>
  <si>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</si>
  <si>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</si>
  <si>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</si>
  <si>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</si>
  <si>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</si>
  <si>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</si>
  <si>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</si>
  <si>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</si>
  <si>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</si>
  <si>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</si>
  <si>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</si>
  <si>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</si>
  <si>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</si>
  <si>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</si>
  <si>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</si>
  <si>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</si>
  <si>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</si>
  <si>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</si>
  <si>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</si>
  <si>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</si>
  <si>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</si>
  <si>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</si>
  <si>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</si>
  <si>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</si>
  <si>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</si>
  <si>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</si>
  <si>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</si>
  <si>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</si>
  <si>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</si>
  <si>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</si>
  <si>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</si>
  <si>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</si>
  <si>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</si>
  <si>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</si>
  <si>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</si>
  <si>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</si>
  <si>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</si>
  <si>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</si>
  <si>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</si>
  <si>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</si>
  <si>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</si>
  <si>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</si>
  <si>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</si>
  <si>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</si>
  <si>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</si>
  <si>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</si>
  <si>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</si>
  <si>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</si>
  <si>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</si>
  <si>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</si>
  <si>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</si>
  <si>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</si>
  <si>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</si>
  <si>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</si>
  <si>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</si>
  <si>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</si>
  <si>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</si>
  <si>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</si>
  <si>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</si>
  <si>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</si>
  <si>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</si>
  <si>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</si>
  <si>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</si>
  <si>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</si>
  <si>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</si>
  <si>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</si>
  <si>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</si>
  <si>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</si>
  <si>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</si>
  <si>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</si>
  <si>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</si>
  <si>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</si>
  <si>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</si>
  <si>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</si>
  <si>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</si>
  <si>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</si>
  <si>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</si>
  <si>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</si>
  <si>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</si>
  <si>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</si>
  <si>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</si>
  <si>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</si>
  <si>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</si>
  <si>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</si>
  <si>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</si>
  <si>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</si>
  <si>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</si>
  <si>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</si>
  <si>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</si>
  <si>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</si>
  <si>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</si>
  <si>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</si>
  <si>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</si>
  <si>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</si>
  <si>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</si>
  <si>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</si>
  <si>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</si>
  <si>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</si>
  <si>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</si>
  <si>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</si>
  <si>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</si>
  <si>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</si>
  <si>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</si>
  <si>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</si>
  <si>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</si>
  <si>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</si>
  <si>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</si>
  <si>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</si>
  <si>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</si>
  <si>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</si>
  <si>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</si>
  <si>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</si>
  <si>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</si>
  <si>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</si>
  <si>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</si>
  <si>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</si>
  <si>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</si>
  <si>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</si>
  <si>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</si>
  <si>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</si>
  <si>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</si>
  <si>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</si>
  <si>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</si>
  <si>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</si>
  <si>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</si>
  <si>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</si>
  <si>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</si>
  <si>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</si>
  <si>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</si>
  <si>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</si>
  <si>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</si>
  <si>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</si>
  <si>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</si>
  <si>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</si>
  <si>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</si>
  <si>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</si>
  <si>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</si>
  <si>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</si>
  <si>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</si>
  <si>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</si>
  <si>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</si>
  <si>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</si>
  <si>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</si>
  <si>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</si>
  <si>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</si>
  <si>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</si>
  <si>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</si>
  <si>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</si>
  <si>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</si>
  <si>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</si>
  <si>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</si>
  <si>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</si>
  <si>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</si>
  <si>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</si>
  <si>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</si>
  <si>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</si>
  <si>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</si>
  <si>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</si>
  <si>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</si>
  <si>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</si>
  <si>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</si>
  <si>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</si>
  <si>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</si>
  <si>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</si>
  <si>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</si>
  <si>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</si>
  <si>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</si>
  <si>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</si>
  <si>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</si>
  <si>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</si>
  <si>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</si>
  <si>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</si>
  <si>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</si>
  <si>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</si>
  <si>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</si>
  <si>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</si>
  <si>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</si>
  <si>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</si>
  <si>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</si>
  <si>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</si>
  <si>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</si>
  <si>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</si>
  <si>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</si>
  <si>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</si>
  <si>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</si>
  <si>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</si>
  <si>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</si>
  <si>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</si>
  <si>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</si>
  <si>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</si>
  <si>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</si>
  <si>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</si>
  <si>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</si>
  <si>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</si>
  <si>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</si>
  <si>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</si>
  <si>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</si>
  <si>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</si>
  <si>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</si>
  <si>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</si>
  <si>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</si>
  <si>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</si>
  <si>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</si>
  <si>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</si>
  <si>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</si>
  <si>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</si>
  <si>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</si>
  <si>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</si>
  <si>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</si>
  <si>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</si>
  <si>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</si>
  <si>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</si>
  <si>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</si>
  <si>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</si>
  <si>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</si>
  <si>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</si>
  <si>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</si>
  <si>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</si>
  <si>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</si>
  <si>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</si>
  <si>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</si>
  <si>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</si>
  <si>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</si>
  <si>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</si>
  <si>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</si>
  <si>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</si>
  <si>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</si>
  <si>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</si>
  <si>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</si>
  <si>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</si>
  <si>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</si>
  <si>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</si>
  <si>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</si>
  <si>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</si>
  <si>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</si>
  <si>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</si>
  <si>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</si>
  <si>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</si>
  <si>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</si>
  <si>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</si>
  <si>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</si>
  <si>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</si>
  <si>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</si>
  <si>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</si>
  <si>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</si>
  <si>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</si>
  <si>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</si>
  <si>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</si>
  <si>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</si>
  <si>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</si>
  <si>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</si>
  <si>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</si>
  <si>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</si>
  <si>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</si>
  <si>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</si>
  <si>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</si>
  <si>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</si>
  <si>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</si>
  <si>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</si>
  <si>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</si>
  <si>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</si>
  <si>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</si>
  <si>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</si>
  <si>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</si>
  <si>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</si>
  <si>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</si>
  <si>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</si>
  <si>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</si>
  <si>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</si>
  <si>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</si>
  <si>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</si>
  <si>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</si>
  <si>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</si>
  <si>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</si>
  <si>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</si>
  <si>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</si>
  <si>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</si>
  <si>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</si>
  <si>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</si>
  <si>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</si>
  <si>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</si>
  <si>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</si>
  <si>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</si>
  <si>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</si>
  <si>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</si>
  <si>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</si>
  <si>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</si>
  <si>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</si>
  <si>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</si>
  <si>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</si>
  <si>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</si>
  <si>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</si>
  <si>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</si>
  <si>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</si>
  <si>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</si>
  <si>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</si>
  <si>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</si>
  <si>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</si>
  <si>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</si>
  <si>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</si>
  <si>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</si>
  <si>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</si>
  <si>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</si>
  <si>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</si>
  <si>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</si>
  <si>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</si>
  <si>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</si>
  <si>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</si>
  <si>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</si>
  <si>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</si>
  <si>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</si>
  <si>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</si>
  <si>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</si>
  <si>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</si>
  <si>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</si>
  <si>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</si>
  <si>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</si>
  <si>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</si>
  <si>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</si>
  <si>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</si>
  <si>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</si>
  <si>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</si>
  <si>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</si>
  <si>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</si>
  <si>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</si>
  <si>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</si>
  <si>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</si>
  <si>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</si>
  <si>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</si>
  <si>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</si>
  <si>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</si>
  <si>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</si>
  <si>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</si>
  <si>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</si>
  <si>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</si>
  <si>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</si>
  <si>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</si>
  <si>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</si>
  <si>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</si>
  <si>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</si>
  <si>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</si>
  <si>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</si>
  <si>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</si>
  <si>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</si>
  <si>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</si>
  <si>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</si>
  <si>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</si>
  <si>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</si>
  <si>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</si>
  <si>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</si>
  <si>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</si>
  <si>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</si>
  <si>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</si>
  <si>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</si>
  <si>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</si>
  <si>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</si>
  <si>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</si>
  <si>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</si>
  <si>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</si>
  <si>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</si>
  <si>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</si>
  <si>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</si>
  <si>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</si>
  <si>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</si>
  <si>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</si>
  <si>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</si>
  <si>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</si>
  <si>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</si>
  <si>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</si>
  <si>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</si>
  <si>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</si>
  <si>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</si>
  <si>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</si>
  <si>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</si>
  <si>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</si>
  <si>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</si>
  <si>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</si>
  <si>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</si>
  <si>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</si>
  <si>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</si>
  <si>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</si>
  <si>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</si>
  <si>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</si>
  <si>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</si>
  <si>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</si>
  <si>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</si>
  <si>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</si>
  <si>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</si>
  <si>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</si>
  <si>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</si>
  <si>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</si>
  <si>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</si>
  <si>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</si>
  <si>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</si>
  <si>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</si>
  <si>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</si>
  <si>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</si>
  <si>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</si>
  <si>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</si>
  <si>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</si>
  <si>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</si>
  <si>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</si>
  <si>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</si>
  <si>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</si>
  <si>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</si>
  <si>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</si>
  <si>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</si>
  <si>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</si>
  <si>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</si>
  <si>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</si>
  <si>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</si>
  <si>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</si>
  <si>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</si>
  <si>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</si>
  <si>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</si>
  <si>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</si>
  <si>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</si>
  <si>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</si>
  <si>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</si>
  <si>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</si>
  <si>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</si>
  <si>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</si>
  <si>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</si>
  <si>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</si>
  <si>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</si>
  <si>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</si>
  <si>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</si>
  <si>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</si>
  <si>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</si>
  <si>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</si>
  <si>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</si>
  <si>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</si>
  <si>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</si>
  <si>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</si>
  <si>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</si>
  <si>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</si>
  <si>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</si>
  <si>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</si>
  <si>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</si>
  <si>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</si>
  <si>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</si>
  <si>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</si>
  <si>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</si>
  <si>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</si>
  <si>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</si>
  <si>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</si>
  <si>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</si>
  <si>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</si>
  <si>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</si>
  <si>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</si>
  <si>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</si>
  <si>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</si>
  <si>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</si>
  <si>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</si>
  <si>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</si>
  <si>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</si>
  <si>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</si>
  <si>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</si>
  <si>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</si>
  <si>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</si>
  <si>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</si>
  <si>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</si>
  <si>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</si>
  <si>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</si>
  <si>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</si>
  <si>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</si>
  <si>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</si>
  <si>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</si>
  <si>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</si>
  <si>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</si>
  <si>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</si>
  <si>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</si>
  <si>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</si>
  <si>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</si>
  <si>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</si>
  <si>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</si>
  <si>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</si>
  <si>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</si>
  <si>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</si>
  <si>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</si>
  <si>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</si>
  <si>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</si>
  <si>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</si>
  <si>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</si>
  <si>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</si>
  <si>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</si>
  <si>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</si>
  <si>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</si>
  <si>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</si>
  <si>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</si>
  <si>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</si>
  <si>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</si>
  <si>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</si>
  <si>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</si>
  <si>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</si>
  <si>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</si>
  <si>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</si>
  <si>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</si>
  <si>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</si>
  <si>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</si>
  <si>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</si>
  <si>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</si>
  <si>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</si>
  <si>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</si>
  <si>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</si>
  <si>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</si>
  <si>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</si>
  <si>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</si>
  <si>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</si>
  <si>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</si>
  <si>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</si>
  <si>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</si>
  <si>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</si>
  <si>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</si>
  <si>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</si>
  <si>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</si>
  <si>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</si>
  <si>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</si>
  <si>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</si>
  <si>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</si>
  <si>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</si>
  <si>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</si>
  <si>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</si>
  <si>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</si>
  <si>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</si>
  <si>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</si>
  <si>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</si>
  <si>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</si>
  <si>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</si>
  <si>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</si>
  <si>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</si>
  <si>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</si>
  <si>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</si>
  <si>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</si>
  <si>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</si>
  <si>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</si>
  <si>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</si>
  <si>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</si>
  <si>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</si>
  <si>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</si>
  <si>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</si>
  <si>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</si>
  <si>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</si>
  <si>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</si>
  <si>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</si>
  <si>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</si>
  <si>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</si>
  <si>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</si>
  <si>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</si>
  <si>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</si>
  <si>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</si>
  <si>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</si>
  <si>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</si>
  <si>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</si>
  <si>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</si>
  <si>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</si>
  <si>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</si>
  <si>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</si>
  <si>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</si>
  <si>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</si>
  <si>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</si>
  <si>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</si>
  <si>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</si>
  <si>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</si>
  <si>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</si>
  <si>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</si>
  <si>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</si>
  <si>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</si>
  <si>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</si>
  <si>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</si>
  <si>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</si>
  <si>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</si>
  <si>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</si>
  <si>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</si>
  <si>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</si>
  <si>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</si>
  <si>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</si>
  <si>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</si>
  <si>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</si>
  <si>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</si>
  <si>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</si>
  <si>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</si>
  <si>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</si>
  <si>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</si>
  <si>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</si>
  <si>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</si>
  <si>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</si>
  <si>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</si>
  <si>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</si>
  <si>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</si>
  <si>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</si>
  <si>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</si>
  <si>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</si>
  <si>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</si>
  <si>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</si>
  <si>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</si>
  <si>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</si>
  <si>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</si>
  <si>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</si>
  <si>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</si>
  <si>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</si>
  <si>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</si>
  <si>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</si>
  <si>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</si>
  <si>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</si>
  <si>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</si>
  <si>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</si>
  <si>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</si>
  <si>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</si>
  <si>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</si>
  <si>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</si>
  <si>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</si>
  <si>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</si>
  <si>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</si>
  <si>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</si>
  <si>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</si>
  <si>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</si>
  <si>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</si>
  <si>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</si>
  <si>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</si>
  <si>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</si>
  <si>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</si>
  <si>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</si>
  <si>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</si>
  <si>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</si>
  <si>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</si>
  <si>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</si>
  <si>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</si>
  <si>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</si>
  <si>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</si>
  <si>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</si>
  <si>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</si>
  <si>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</si>
  <si>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</si>
  <si>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</si>
  <si>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</si>
  <si>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</si>
  <si>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</si>
  <si>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</si>
  <si>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</si>
  <si>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</si>
  <si>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</si>
  <si>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</si>
  <si>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</si>
  <si>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</si>
  <si>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</si>
  <si>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</si>
  <si>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</si>
  <si>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</si>
  <si>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</si>
  <si>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</si>
  <si>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</si>
  <si>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</si>
  <si>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</si>
  <si>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</si>
  <si>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</si>
  <si>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</si>
  <si>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</si>
  <si>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</si>
  <si>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</si>
  <si>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</si>
  <si>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</si>
  <si>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</si>
  <si>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</si>
  <si>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</si>
  <si>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</si>
  <si>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</si>
  <si>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</si>
  <si>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</si>
  <si>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</si>
  <si>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</si>
  <si>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</si>
  <si>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</si>
  <si>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</si>
  <si>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</si>
  <si>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</si>
  <si>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</si>
  <si>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</si>
  <si>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</si>
  <si>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</si>
  <si>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</si>
  <si>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</si>
  <si>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</si>
  <si>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</si>
  <si>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</si>
  <si>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</si>
  <si>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</si>
  <si>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</si>
  <si>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</si>
  <si>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</si>
  <si>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</si>
  <si>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</si>
  <si>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</si>
  <si>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</si>
  <si>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</si>
  <si>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</si>
  <si>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</si>
  <si>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</si>
  <si>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</si>
  <si>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</si>
  <si>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</si>
  <si>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</si>
  <si>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</si>
  <si>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</si>
  <si>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</si>
  <si>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</si>
  <si>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</si>
  <si>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</si>
  <si>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</si>
  <si>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</si>
  <si>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</si>
  <si>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</si>
  <si>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</si>
  <si>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</si>
  <si>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</si>
  <si>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</si>
  <si>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</si>
  <si>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</si>
  <si>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</si>
  <si>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</si>
  <si>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</si>
  <si>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</si>
  <si>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</si>
  <si>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</si>
  <si>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</si>
  <si>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</si>
  <si>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</si>
  <si>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</si>
  <si>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</si>
  <si>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</si>
  <si>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</si>
  <si>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</si>
  <si>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</si>
  <si>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</si>
  <si>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</si>
  <si>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</si>
  <si>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</si>
  <si>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</si>
  <si>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</si>
  <si>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</si>
  <si>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</si>
  <si>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</si>
  <si>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</si>
  <si>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</si>
  <si>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</si>
  <si>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</si>
  <si>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</si>
  <si>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</si>
  <si>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</si>
  <si>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</si>
  <si>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</si>
  <si>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</si>
  <si>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</si>
  <si>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</si>
  <si>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</si>
  <si>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</si>
  <si>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</si>
  <si>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</si>
  <si>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</si>
  <si>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</si>
  <si>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</si>
  <si>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</si>
  <si>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</si>
  <si>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</si>
  <si>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</si>
  <si>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</si>
  <si>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</si>
  <si>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</si>
  <si>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</si>
  <si>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</si>
  <si>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</si>
  <si>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</si>
  <si>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</si>
  <si>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</si>
  <si>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</si>
  <si>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</si>
  <si>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</si>
  <si>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</si>
  <si>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</si>
  <si>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</si>
  <si>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</si>
  <si>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</si>
  <si>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</si>
  <si>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</si>
  <si>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</si>
  <si>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</si>
  <si>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</si>
  <si>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</si>
  <si>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</si>
  <si>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</si>
  <si>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</si>
  <si>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</si>
  <si>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</si>
  <si>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</si>
  <si>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</si>
  <si>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</si>
  <si>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</si>
  <si>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</si>
  <si>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</si>
  <si>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</si>
  <si>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</si>
  <si>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</si>
  <si>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</si>
  <si>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</si>
  <si>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</si>
  <si>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</si>
  <si>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</si>
  <si>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</si>
  <si>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</si>
  <si>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</si>
  <si>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</si>
  <si>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</si>
  <si>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</si>
  <si>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</si>
  <si>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</si>
  <si>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</si>
  <si>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</si>
  <si>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</si>
  <si>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</si>
  <si>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</si>
  <si>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</si>
  <si>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</si>
  <si>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</si>
  <si>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</si>
  <si>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</si>
  <si>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</si>
  <si>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</si>
  <si>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</si>
  <si>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</si>
  <si>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</si>
  <si>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</si>
  <si>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</si>
  <si>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</si>
  <si>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</si>
  <si>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</si>
  <si>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</si>
  <si>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</si>
  <si>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</si>
  <si>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</si>
  <si>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</si>
  <si>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</si>
  <si>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</si>
  <si>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</si>
  <si>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</si>
  <si>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</si>
  <si>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</si>
  <si>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</si>
  <si>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</si>
  <si>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</si>
  <si>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</si>
  <si>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</si>
  <si>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</si>
  <si>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</si>
  <si>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</si>
  <si>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</si>
  <si>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</si>
  <si>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</si>
  <si>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</si>
  <si>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</si>
  <si>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</si>
  <si>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</si>
  <si>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</si>
  <si>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</si>
  <si>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</si>
  <si>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</si>
  <si>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</si>
  <si>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</si>
  <si>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</si>
  <si>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</si>
  <si>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</si>
  <si>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</si>
  <si>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</si>
  <si>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</si>
  <si>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</si>
  <si>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</si>
  <si>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</si>
  <si>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</si>
  <si>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</si>
  <si>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</si>
  <si>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</si>
  <si>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</si>
  <si>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</si>
  <si>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</si>
  <si>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</si>
  <si>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</si>
  <si>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</si>
  <si>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</si>
  <si>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</si>
  <si>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</si>
  <si>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</si>
  <si>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</si>
  <si>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</si>
  <si>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</si>
  <si>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</si>
  <si>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</si>
  <si>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</si>
  <si>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</si>
  <si>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</si>
  <si>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</si>
  <si>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</si>
  <si>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</si>
  <si>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</si>
  <si>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</si>
  <si>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</si>
  <si>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</si>
  <si>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</si>
  <si>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</si>
  <si>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</si>
  <si>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</si>
  <si>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</si>
  <si>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</si>
  <si>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</si>
  <si>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</si>
  <si>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</si>
  <si>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</si>
  <si>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</si>
  <si>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</si>
  <si>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</si>
  <si>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</si>
  <si>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</si>
  <si>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</si>
  <si>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</si>
  <si>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</si>
  <si>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</si>
  <si>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</si>
  <si>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</si>
  <si>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</si>
  <si>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</si>
  <si>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</si>
  <si>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</si>
  <si>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</si>
  <si>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</si>
  <si>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</si>
  <si>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</si>
  <si>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</si>
  <si>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</si>
  <si>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</si>
  <si>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</si>
  <si>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</si>
  <si>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</si>
  <si>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</si>
  <si>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</si>
  <si>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</si>
  <si>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</si>
  <si>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</si>
  <si>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</si>
  <si>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</si>
  <si>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</si>
  <si>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</si>
  <si>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</si>
  <si>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</si>
  <si>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</si>
  <si>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</si>
  <si>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</si>
  <si>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</si>
  <si>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</si>
  <si>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</si>
  <si>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</si>
  <si>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</si>
  <si>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</si>
  <si>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</si>
  <si>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</si>
  <si>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</si>
  <si>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</si>
  <si>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</si>
  <si>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</si>
  <si>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</si>
  <si>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</si>
  <si>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</si>
  <si>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</si>
  <si>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</si>
  <si>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</si>
  <si>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</si>
  <si>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</si>
  <si>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</si>
  <si>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</si>
  <si>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</si>
  <si>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</si>
  <si>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</si>
  <si>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</si>
  <si>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</si>
  <si>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</si>
  <si>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</si>
  <si>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</si>
  <si>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</si>
  <si>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</si>
  <si>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</si>
  <si>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</si>
  <si>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</si>
  <si>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</si>
  <si>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</si>
  <si>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</si>
  <si>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</si>
  <si>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</si>
  <si>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</si>
  <si>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</si>
  <si>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</si>
  <si>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</si>
  <si>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</si>
  <si>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</si>
  <si>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</si>
  <si>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</si>
  <si>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</si>
  <si>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</si>
  <si>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</si>
  <si>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</si>
  <si>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</si>
  <si>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</si>
  <si>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</si>
  <si>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</si>
  <si>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</si>
  <si>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</si>
  <si>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</si>
  <si>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</si>
  <si>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</si>
  <si>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</si>
  <si>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</si>
  <si>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</si>
  <si>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</si>
  <si>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</si>
  <si>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</si>
  <si>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</si>
  <si>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</si>
  <si>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</si>
  <si>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</si>
  <si>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</si>
  <si>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</si>
  <si>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</si>
  <si>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</si>
  <si>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</si>
  <si>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</si>
  <si>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</si>
  <si>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</si>
  <si>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</si>
  <si>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</si>
  <si>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</si>
  <si>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</si>
  <si>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</si>
  <si>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</si>
  <si>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</si>
  <si>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</si>
  <si>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</si>
  <si>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</si>
  <si>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</si>
  <si>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</si>
  <si>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</si>
  <si>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</si>
  <si>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</si>
  <si>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</si>
  <si>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</si>
  <si>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</si>
  <si>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</si>
  <si>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</si>
  <si>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</si>
  <si>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</si>
  <si>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</si>
  <si>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</si>
  <si>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</si>
  <si>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</si>
  <si>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</si>
  <si>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</si>
  <si>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</si>
  <si>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</si>
  <si>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</si>
  <si>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</si>
  <si>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</si>
  <si>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</si>
  <si>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</si>
  <si>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</si>
  <si>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</si>
  <si>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</si>
  <si>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</si>
  <si>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</si>
  <si>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</si>
  <si>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</si>
  <si>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</si>
  <si>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</si>
  <si>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</si>
  <si>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</si>
  <si>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</si>
  <si>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</si>
  <si>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</si>
  <si>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</si>
  <si>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</si>
  <si>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</si>
  <si>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</si>
  <si>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</si>
  <si>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</si>
  <si>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</si>
  <si>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</si>
  <si>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</si>
  <si>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</si>
  <si>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</si>
  <si>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</si>
  <si>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</si>
  <si>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</si>
  <si>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</si>
  <si>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</si>
  <si>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</si>
  <si>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</si>
  <si>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</si>
  <si>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</si>
  <si>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</si>
  <si>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</si>
  <si>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</si>
  <si>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</si>
  <si>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</si>
  <si>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</si>
  <si>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</si>
  <si>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</si>
  <si>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</si>
  <si>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</si>
  <si>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</si>
  <si>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</si>
  <si>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</si>
  <si>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</si>
  <si>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</si>
  <si>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</si>
  <si>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</si>
  <si>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</si>
  <si>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</si>
  <si>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</si>
  <si>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</si>
  <si>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</si>
  <si>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</si>
  <si>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</si>
  <si>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</si>
  <si>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</si>
  <si>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</si>
  <si>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</si>
  <si>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</si>
  <si>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</si>
  <si>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</si>
  <si>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</si>
  <si>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</si>
  <si>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</si>
  <si>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</si>
  <si>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</si>
  <si>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</si>
  <si>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</si>
  <si>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</si>
  <si>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</si>
  <si>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</si>
  <si>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</si>
  <si>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</si>
  <si>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</si>
  <si>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</si>
  <si>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</si>
  <si>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</si>
  <si>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</si>
  <si>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</si>
  <si>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</si>
  <si>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</si>
  <si>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</si>
  <si>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</si>
  <si>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</si>
  <si>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</si>
  <si>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</si>
  <si>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</si>
  <si>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</si>
  <si>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</si>
  <si>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</si>
  <si>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</si>
  <si>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</si>
  <si>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</si>
  <si>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</si>
  <si>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</si>
  <si>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</si>
  <si>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</si>
  <si>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</si>
  <si>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</si>
  <si>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</si>
  <si>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</si>
  <si>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</si>
  <si>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</si>
  <si>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</si>
  <si>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</si>
  <si>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</si>
  <si>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</si>
  <si>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</si>
  <si>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</si>
  <si>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</si>
  <si>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</si>
  <si>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</si>
  <si>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</si>
  <si>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</si>
  <si>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</si>
  <si>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</si>
  <si>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</si>
  <si>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</si>
  <si>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</si>
  <si>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</si>
  <si>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</si>
  <si>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</si>
  <si>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</si>
  <si>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</si>
  <si>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</si>
  <si>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</si>
  <si>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</si>
  <si>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</si>
  <si>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</si>
  <si>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</si>
  <si>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</si>
  <si>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</si>
  <si>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</si>
  <si>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</si>
  <si>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</si>
  <si>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</si>
  <si>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</si>
  <si>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</si>
  <si>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</si>
  <si>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</si>
  <si>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</si>
  <si>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</si>
  <si>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</si>
  <si>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</si>
  <si>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</si>
  <si>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</si>
  <si>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</si>
  <si>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</si>
  <si>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</si>
  <si>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</si>
  <si>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</si>
  <si>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</si>
  <si>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</si>
  <si>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</si>
  <si>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</si>
  <si>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</si>
  <si>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</si>
  <si>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</si>
  <si>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</si>
  <si>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</si>
  <si>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</si>
  <si>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</si>
  <si>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</si>
  <si>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</si>
  <si>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</si>
  <si>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</si>
  <si>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</si>
  <si>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</si>
  <si>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</si>
  <si>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</si>
  <si>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</si>
  <si>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</si>
  <si>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</si>
  <si>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</si>
  <si>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</si>
  <si>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</si>
  <si>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</si>
  <si>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</si>
  <si>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</si>
  <si>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</si>
  <si>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</si>
  <si>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</si>
  <si>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</si>
  <si>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</si>
  <si>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</si>
  <si>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</si>
  <si>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</si>
  <si>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</si>
  <si>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</si>
  <si>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</si>
  <si>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</si>
  <si>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</si>
  <si>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</si>
  <si>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</si>
  <si>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</si>
  <si>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</si>
  <si>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</si>
  <si>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</si>
  <si>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</si>
  <si>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</si>
  <si>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</si>
  <si>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</si>
  <si>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</si>
  <si>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</si>
  <si>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</si>
  <si>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</si>
  <si>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</si>
  <si>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</si>
  <si>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</si>
  <si>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</si>
  <si>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</si>
  <si>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</si>
  <si>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</si>
  <si>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</si>
  <si>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</si>
  <si>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</si>
  <si>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</si>
  <si>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</si>
  <si>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</si>
  <si>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</si>
  <si>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</si>
  <si>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</si>
  <si>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</si>
  <si>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</si>
  <si>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</si>
  <si>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</si>
  <si>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</si>
  <si>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</si>
  <si>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</si>
  <si>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</si>
  <si>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</si>
  <si>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</si>
  <si>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</si>
  <si>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</si>
  <si>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</si>
  <si>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</si>
  <si>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</si>
  <si>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</si>
  <si>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</si>
  <si>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</si>
  <si>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</si>
  <si>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</si>
  <si>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</si>
  <si>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</si>
  <si>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</si>
  <si>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</si>
  <si>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</si>
  <si>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</si>
  <si>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</si>
  <si>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</si>
  <si>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</si>
  <si>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</si>
  <si>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</si>
  <si>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</si>
  <si>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</si>
  <si>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</si>
  <si>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</si>
  <si>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</si>
  <si>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</si>
  <si>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</si>
  <si>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</si>
  <si>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</si>
  <si>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</si>
  <si>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</si>
  <si>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</si>
  <si>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</si>
  <si>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</si>
  <si>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</si>
  <si>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</si>
  <si>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</si>
  <si>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</si>
  <si>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</si>
  <si>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</si>
  <si>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</si>
  <si>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</si>
  <si>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</si>
  <si>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</si>
  <si>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</si>
  <si>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</si>
  <si>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</si>
  <si>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</si>
  <si>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</si>
  <si>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</si>
  <si>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</si>
  <si>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</si>
  <si>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</si>
  <si>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</si>
  <si>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</si>
  <si>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</si>
  <si>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</si>
  <si>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</si>
  <si>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</si>
  <si>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</si>
  <si>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</si>
  <si>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</si>
  <si>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</si>
  <si>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</si>
  <si>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</si>
  <si>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</si>
  <si>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</si>
  <si>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</si>
  <si>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</si>
  <si>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</si>
  <si>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</si>
  <si>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</si>
  <si>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</si>
  <si>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</si>
  <si>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</si>
  <si>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</si>
  <si>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</si>
  <si>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</si>
  <si>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</si>
  <si>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</si>
  <si>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</si>
  <si>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</si>
  <si>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</si>
  <si>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</si>
  <si>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</si>
  <si>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</si>
  <si>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</si>
  <si>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</si>
  <si>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</si>
  <si>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</si>
  <si>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</si>
  <si>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</si>
  <si>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</si>
  <si>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</si>
  <si>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</si>
  <si>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</si>
  <si>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</si>
  <si>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</si>
  <si>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</si>
  <si>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</si>
  <si>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</si>
  <si>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</si>
  <si>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</si>
  <si>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</si>
  <si>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</si>
  <si>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</si>
  <si>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</si>
  <si>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</si>
  <si>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</si>
  <si>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</si>
  <si>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</si>
  <si>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</si>
  <si>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</si>
  <si>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</si>
  <si>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</si>
  <si>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</si>
  <si>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</si>
  <si>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</si>
  <si>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</si>
  <si>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</si>
  <si>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</si>
  <si>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</si>
  <si>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</si>
  <si>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</si>
  <si>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</si>
  <si>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</si>
  <si>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</si>
  <si>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</si>
  <si>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</si>
  <si>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</si>
  <si>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</si>
  <si>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</si>
  <si>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</si>
  <si>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</si>
  <si>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</si>
  <si>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</si>
  <si>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</si>
  <si>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</si>
  <si>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</si>
  <si>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</si>
  <si>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</si>
  <si>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</si>
  <si>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</si>
  <si>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</si>
  <si>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</si>
  <si>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</si>
  <si>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</si>
  <si>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</si>
  <si>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</si>
  <si>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</si>
  <si>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</si>
  <si>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</si>
  <si>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</si>
  <si>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</si>
  <si>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</si>
  <si>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</si>
  <si>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</si>
  <si>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</si>
  <si>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</si>
  <si>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</si>
  <si>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</si>
  <si>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</si>
  <si>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</si>
  <si>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</si>
  <si>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</si>
  <si>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</si>
  <si>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</si>
  <si>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</si>
  <si>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</si>
  <si>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</si>
  <si>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</si>
  <si>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</si>
  <si>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</si>
  <si>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</si>
  <si>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</si>
  <si>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</si>
  <si>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</si>
  <si>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</si>
  <si>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</si>
  <si>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</si>
  <si>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</si>
  <si>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</si>
  <si>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</si>
  <si>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</si>
  <si>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</si>
  <si>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</si>
  <si>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</si>
  <si>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</si>
  <si>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</si>
  <si>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</si>
  <si>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</si>
  <si>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</si>
  <si>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</si>
  <si>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</si>
  <si>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</si>
  <si>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</si>
  <si>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</si>
  <si>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</si>
  <si>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</si>
  <si>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</si>
  <si>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</si>
  <si>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</si>
  <si>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</si>
  <si>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</si>
  <si>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</si>
  <si>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</si>
  <si>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</si>
  <si>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</si>
  <si>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</si>
  <si>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</si>
  <si>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</si>
  <si>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</si>
  <si>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</si>
  <si>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</si>
  <si>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</si>
  <si>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</si>
  <si>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</si>
  <si>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</si>
  <si>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</si>
  <si>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</si>
  <si>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</si>
  <si>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</si>
  <si>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</si>
  <si>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</si>
  <si>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</si>
  <si>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</si>
  <si>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</si>
  <si>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</si>
  <si>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</si>
  <si>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</si>
  <si>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</si>
  <si>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</si>
  <si>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</si>
  <si>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</si>
  <si>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</si>
  <si>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</si>
  <si>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</si>
  <si>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</si>
  <si>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</si>
  <si>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</si>
  <si>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</si>
  <si>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</si>
  <si>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</si>
  <si>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</si>
  <si>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</si>
  <si>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</si>
  <si>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</si>
  <si>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</si>
  <si>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</si>
  <si>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</si>
  <si>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</si>
  <si>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</si>
  <si>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</si>
  <si>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</si>
  <si>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</si>
  <si>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</si>
  <si>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</si>
  <si>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</si>
  <si>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</si>
  <si>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</si>
  <si>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</si>
  <si>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</si>
  <si>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</si>
  <si>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</si>
  <si>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</si>
  <si>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</si>
  <si>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</si>
  <si>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</si>
  <si>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</si>
  <si>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</si>
  <si>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</si>
  <si>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</si>
  <si>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</si>
  <si>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</si>
  <si>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</si>
  <si>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</si>
  <si>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</si>
  <si>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</si>
  <si>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</si>
  <si>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</si>
  <si>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</si>
  <si>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</si>
  <si>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</si>
  <si>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</si>
  <si>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</si>
  <si>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</si>
  <si>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</si>
  <si>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</si>
  <si>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</si>
  <si>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</si>
  <si>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</si>
  <si>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</si>
  <si>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</si>
  <si>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</si>
  <si>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</si>
  <si>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</si>
  <si>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</si>
  <si>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</si>
  <si>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</si>
  <si>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</si>
  <si>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</si>
  <si>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</si>
  <si>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</si>
  <si>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</si>
  <si>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</si>
  <si>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</si>
  <si>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</si>
  <si>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</si>
  <si>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</si>
  <si>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</si>
  <si>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</si>
  <si>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</si>
  <si>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</si>
  <si>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</si>
  <si>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</si>
  <si>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</si>
  <si>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</si>
  <si>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</si>
  <si>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</si>
  <si>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</si>
  <si>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</si>
  <si>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</si>
  <si>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</si>
  <si>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</si>
  <si>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</si>
  <si>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</si>
  <si>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</si>
  <si>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</si>
  <si>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</si>
  <si>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</si>
  <si>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</si>
  <si>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</si>
  <si>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</si>
  <si>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</si>
  <si>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</si>
  <si>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</si>
  <si>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</si>
  <si>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</si>
  <si>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</si>
  <si>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</si>
  <si>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</si>
  <si>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</si>
  <si>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</si>
  <si>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</si>
  <si>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</si>
  <si>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</si>
  <si>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</si>
  <si>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</si>
  <si>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</si>
  <si>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</si>
  <si>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</si>
  <si>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</si>
  <si>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</si>
  <si>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</si>
  <si>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</si>
  <si>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</si>
  <si>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</si>
  <si>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</si>
  <si>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</si>
  <si>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</si>
  <si>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</si>
  <si>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</si>
  <si>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</si>
  <si>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</si>
  <si>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</si>
  <si>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</si>
  <si>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</si>
  <si>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</si>
  <si>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</si>
  <si>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</si>
  <si>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</si>
  <si>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</si>
  <si>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</si>
  <si>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</si>
  <si>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</si>
  <si>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</si>
  <si>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</si>
  <si>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</si>
  <si>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</si>
  <si>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</si>
  <si>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</si>
  <si>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</si>
  <si>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</si>
  <si>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</si>
  <si>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</si>
  <si>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</si>
  <si>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</si>
  <si>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</si>
  <si>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</si>
  <si>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</si>
  <si>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</si>
  <si>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</si>
  <si>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</si>
  <si>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</si>
  <si>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</si>
  <si>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</si>
  <si>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</si>
  <si>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</si>
  <si>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</si>
  <si>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</si>
  <si>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</si>
  <si>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</si>
  <si>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</si>
  <si>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</si>
  <si>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</si>
  <si>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</si>
  <si>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</si>
  <si>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</si>
  <si>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</si>
  <si>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</si>
  <si>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</si>
  <si>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</si>
  <si>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</si>
  <si>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</si>
  <si>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</si>
  <si>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</si>
  <si>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</si>
  <si>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</si>
  <si>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</si>
  <si>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</si>
  <si>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</si>
  <si>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</si>
  <si>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</si>
  <si>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</si>
  <si>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</si>
  <si>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</si>
  <si>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</si>
  <si>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</si>
  <si>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</si>
  <si>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</si>
  <si>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</si>
  <si>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</si>
  <si>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</si>
  <si>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</si>
  <si>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</si>
  <si>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</si>
  <si>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</si>
  <si>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</si>
  <si>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</si>
  <si>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</si>
  <si>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</si>
  <si>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</si>
  <si>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</si>
  <si>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</si>
  <si>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</si>
  <si>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</si>
  <si>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</si>
  <si>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</si>
  <si>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</si>
  <si>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</si>
  <si>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</si>
  <si>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</si>
  <si>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</si>
  <si>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</si>
  <si>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</si>
  <si>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</si>
  <si>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</si>
  <si>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</si>
  <si>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</si>
  <si>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</si>
  <si>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</si>
  <si>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</si>
  <si>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</si>
  <si>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</si>
  <si>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</si>
  <si>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</si>
  <si>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</si>
  <si>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</si>
  <si>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</si>
  <si>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</si>
  <si>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</si>
  <si>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</si>
  <si>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</si>
  <si>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</si>
  <si>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</si>
  <si>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</si>
  <si>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</si>
  <si>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</si>
  <si>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</si>
  <si>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</si>
  <si>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</si>
  <si>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</si>
  <si>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</si>
  <si>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</si>
  <si>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</si>
  <si>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</si>
  <si>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</si>
  <si>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</si>
  <si>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</si>
  <si>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</si>
  <si>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</si>
  <si>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</si>
  <si>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</si>
  <si>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</si>
  <si>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</si>
  <si>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</si>
  <si>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</si>
  <si>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</si>
  <si>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</si>
  <si>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</si>
  <si>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</si>
  <si>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</si>
  <si>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</si>
  <si>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</si>
  <si>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</si>
  <si>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</si>
  <si>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</si>
  <si>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</si>
  <si>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</si>
  <si>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</si>
  <si>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</si>
  <si>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</si>
  <si>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</si>
  <si>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</si>
  <si>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</si>
  <si>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</si>
  <si>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</si>
  <si>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</si>
  <si>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</si>
  <si>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</si>
  <si>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</si>
  <si>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</si>
  <si>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</si>
  <si>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</si>
  <si>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</si>
  <si>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</si>
  <si>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</si>
  <si>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</si>
  <si>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</si>
  <si>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</si>
  <si>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</si>
  <si>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</si>
  <si>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</si>
  <si>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</si>
  <si>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</si>
  <si>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</si>
  <si>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</si>
  <si>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</si>
  <si>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</si>
  <si>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</si>
  <si>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</si>
  <si>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</si>
  <si>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</si>
  <si>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</si>
  <si>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</si>
  <si>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</si>
  <si>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</si>
  <si>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</si>
  <si>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</si>
  <si>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</si>
  <si>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</si>
  <si>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</si>
  <si>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</si>
  <si>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</si>
  <si>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</si>
  <si>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</si>
  <si>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</si>
  <si>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</si>
  <si>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</si>
  <si>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</si>
  <si>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</si>
  <si>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</si>
  <si>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</si>
  <si>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</si>
  <si>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</si>
  <si>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</si>
  <si>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</si>
  <si>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</si>
  <si>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</si>
  <si>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</si>
  <si>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</si>
  <si>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</si>
  <si>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</si>
  <si>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</si>
  <si>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</si>
  <si>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</si>
  <si>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</si>
  <si>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</si>
  <si>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</si>
  <si>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</si>
  <si>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</si>
  <si>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</si>
  <si>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</si>
  <si>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</si>
  <si>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</si>
  <si>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</si>
  <si>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</si>
  <si>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</si>
  <si>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</si>
  <si>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</si>
  <si>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</si>
  <si>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</si>
  <si>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</si>
  <si>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</si>
  <si>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</si>
  <si>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</si>
  <si>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</si>
  <si>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</si>
  <si>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</si>
  <si>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</si>
  <si>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</si>
  <si>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</si>
  <si>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</si>
  <si>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</si>
  <si>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</si>
  <si>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</si>
  <si>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</si>
  <si>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</si>
  <si>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</si>
  <si>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</si>
  <si>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</si>
  <si>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</si>
  <si>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</si>
  <si>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</si>
  <si>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</si>
  <si>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</si>
  <si>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</si>
  <si>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</si>
  <si>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</si>
  <si>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</si>
  <si>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</si>
  <si>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</si>
  <si>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</si>
  <si>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</si>
  <si>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</si>
  <si>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</si>
  <si>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</si>
  <si>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</si>
  <si>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</si>
  <si>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</si>
  <si>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</si>
  <si>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</si>
  <si>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</si>
  <si>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</si>
  <si>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</si>
  <si>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</si>
  <si>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</si>
  <si>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</si>
  <si>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</si>
  <si>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</si>
  <si>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</si>
  <si>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</si>
  <si>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</si>
  <si>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</si>
  <si>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</si>
  <si>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</si>
  <si>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</si>
  <si>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</si>
  <si>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</si>
  <si>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</si>
  <si>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</si>
  <si>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</si>
  <si>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</si>
  <si>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</si>
  <si>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</si>
  <si>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</si>
  <si>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</si>
  <si>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</si>
  <si>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</si>
  <si>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</si>
  <si>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</si>
  <si>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</si>
  <si>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</si>
  <si>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</si>
  <si>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</si>
  <si>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</si>
  <si>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</si>
  <si>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</si>
  <si>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</si>
  <si>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</si>
  <si>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</si>
  <si>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</si>
  <si>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</si>
  <si>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</si>
  <si>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</si>
  <si>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</si>
  <si>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</si>
  <si>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</si>
  <si>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</si>
  <si>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</si>
  <si>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</si>
  <si>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</si>
  <si>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</si>
  <si>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</si>
  <si>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</si>
  <si>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</si>
  <si>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</si>
  <si>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</si>
  <si>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</si>
  <si>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</si>
  <si>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</si>
  <si>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</si>
  <si>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</si>
  <si>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</si>
  <si>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</si>
  <si>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</si>
  <si>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</si>
  <si>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</si>
  <si>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</si>
  <si>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</si>
  <si>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</si>
  <si>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</si>
  <si>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</si>
  <si>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</si>
  <si>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</si>
  <si>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</si>
  <si>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</si>
  <si>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</si>
  <si>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</si>
  <si>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</si>
  <si>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</si>
  <si>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</si>
  <si>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</si>
  <si>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</si>
  <si>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</si>
  <si>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</si>
  <si>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</si>
  <si>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</si>
  <si>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</si>
  <si>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</si>
  <si>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</si>
  <si>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</si>
  <si>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</si>
  <si>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</si>
  <si>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</si>
  <si>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</si>
  <si>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</si>
  <si>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</si>
  <si>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</si>
  <si>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</si>
  <si>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</si>
  <si>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</si>
  <si>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</si>
  <si>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</si>
  <si>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</si>
  <si>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</si>
  <si>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</si>
  <si>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</si>
  <si>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</si>
  <si>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</si>
  <si>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</si>
  <si>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</si>
  <si>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</si>
  <si>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</si>
  <si>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</si>
  <si>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</si>
  <si>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</si>
  <si>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</si>
  <si>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</si>
  <si>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</si>
  <si>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</si>
  <si>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</si>
  <si>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</si>
  <si>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</si>
  <si>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</si>
  <si>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</si>
  <si>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</si>
  <si>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</si>
  <si>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</si>
  <si>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</si>
  <si>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</si>
  <si>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</si>
  <si>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</si>
  <si>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</si>
  <si>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</si>
  <si>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</si>
  <si>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</si>
  <si>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</si>
  <si>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</si>
  <si>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</si>
  <si>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</si>
  <si>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</si>
  <si>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</si>
  <si>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</si>
  <si>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</si>
  <si>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</si>
  <si>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</si>
  <si>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</si>
  <si>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</si>
  <si>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</si>
  <si>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</si>
  <si>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</si>
  <si>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</si>
  <si>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</si>
  <si>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</si>
  <si>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</si>
  <si>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</si>
  <si>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</si>
  <si>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</si>
  <si>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</si>
  <si>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</si>
  <si>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</si>
  <si>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</si>
  <si>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</si>
  <si>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</si>
  <si>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</si>
  <si>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</si>
  <si>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</si>
  <si>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</si>
  <si>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</si>
  <si>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</si>
  <si>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</si>
  <si>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</si>
  <si>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</si>
  <si>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</si>
  <si>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</si>
  <si>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</si>
  <si>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</si>
  <si>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</si>
  <si>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</si>
  <si>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</si>
  <si>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</si>
  <si>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</si>
  <si>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</si>
  <si>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</si>
  <si>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</si>
  <si>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</si>
  <si>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</si>
  <si>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</si>
  <si>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</si>
  <si>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</si>
  <si>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</si>
  <si>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</si>
  <si>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</si>
  <si>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</si>
  <si>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</si>
  <si>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</si>
  <si>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</si>
  <si>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</si>
  <si>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</si>
  <si>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</si>
  <si>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</si>
  <si>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</si>
  <si>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</si>
  <si>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</si>
  <si>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</si>
  <si>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</si>
  <si>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</si>
  <si>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</si>
  <si>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</si>
  <si>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</si>
  <si>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</si>
  <si>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</si>
  <si>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</si>
  <si>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</si>
  <si>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</si>
  <si>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</si>
  <si>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</si>
  <si>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</si>
  <si>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</si>
  <si>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</si>
  <si>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</si>
  <si>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</si>
  <si>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</si>
  <si>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</si>
  <si>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</si>
  <si>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</si>
  <si>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</si>
  <si>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</si>
  <si>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</si>
  <si>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</si>
  <si>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</si>
  <si>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</si>
  <si>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</si>
  <si>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</si>
  <si>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</si>
  <si>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</si>
  <si>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</si>
  <si>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</si>
  <si>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</si>
  <si>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</si>
  <si>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</si>
  <si>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</si>
  <si>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</si>
  <si>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</si>
  <si>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</si>
  <si>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</si>
  <si>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</si>
  <si>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</si>
  <si>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</si>
  <si>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</si>
  <si>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</si>
  <si>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</si>
  <si>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</si>
  <si>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</si>
  <si>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</si>
  <si>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</si>
  <si>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</si>
  <si>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</si>
  <si>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</si>
  <si>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</si>
  <si>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</si>
  <si>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</si>
  <si>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</si>
  <si>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</si>
  <si>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</si>
  <si>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</si>
  <si>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</si>
  <si>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</si>
  <si>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</si>
  <si>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</si>
  <si>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</si>
  <si>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</si>
  <si>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</si>
  <si>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</si>
  <si>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</si>
  <si>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</si>
  <si>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</si>
  <si>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</si>
  <si>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</si>
  <si>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</si>
  <si>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</si>
  <si>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</si>
  <si>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</si>
  <si>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</si>
  <si>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</si>
  <si>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</si>
  <si>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</si>
  <si>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</si>
  <si>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</si>
  <si>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</si>
  <si>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</si>
  <si>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</si>
  <si>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</si>
  <si>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</si>
  <si>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</si>
  <si>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</si>
  <si>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</si>
  <si>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</si>
  <si>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</si>
  <si>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</si>
  <si>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</si>
  <si>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</si>
  <si>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</si>
  <si>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</si>
  <si>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</si>
  <si>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</si>
  <si>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</si>
  <si>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</si>
  <si>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</si>
  <si>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</si>
  <si>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</si>
  <si>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</si>
  <si>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</si>
  <si>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</si>
  <si>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</si>
  <si>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</si>
  <si>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</si>
  <si>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</si>
  <si>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</si>
  <si>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</si>
  <si>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</si>
  <si>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</si>
  <si>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</si>
  <si>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</si>
  <si>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</si>
  <si>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</si>
  <si>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</si>
  <si>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</si>
  <si>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</si>
  <si>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</si>
  <si>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</si>
  <si>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</si>
  <si>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</si>
  <si>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</si>
  <si>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</si>
  <si>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</si>
  <si>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</si>
  <si>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</si>
  <si>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</si>
  <si>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</si>
  <si>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</si>
  <si>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</si>
  <si>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</si>
  <si>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</si>
  <si>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</si>
  <si>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</si>
  <si>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</si>
  <si>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</si>
  <si>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</si>
  <si>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</si>
  <si>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</si>
  <si>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</si>
  <si>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</si>
  <si>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</si>
  <si>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</si>
  <si>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</si>
  <si>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</si>
  <si>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</si>
  <si>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</si>
  <si>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</si>
  <si>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</si>
  <si>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</si>
  <si>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</si>
  <si>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</si>
  <si>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</si>
  <si>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</si>
  <si>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</si>
  <si>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</si>
  <si>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</si>
  <si>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</si>
  <si>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</si>
  <si>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</si>
  <si>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</si>
  <si>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</si>
  <si>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</si>
  <si>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</si>
  <si>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</si>
  <si>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</si>
  <si>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</si>
  <si>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</si>
  <si>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</si>
  <si>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</si>
  <si>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</si>
  <si>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</si>
  <si>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</si>
  <si>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</si>
  <si>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</si>
  <si>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</si>
  <si>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</si>
  <si>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</si>
  <si>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</si>
  <si>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</si>
  <si>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</si>
  <si>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</si>
  <si>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</si>
  <si>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</si>
  <si>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</si>
  <si>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</si>
  <si>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</si>
  <si>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</si>
  <si>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</si>
  <si>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</si>
  <si>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</si>
  <si>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</si>
  <si>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</si>
  <si>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</si>
  <si>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</si>
  <si>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</si>
  <si>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</si>
  <si>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</si>
  <si>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</si>
  <si>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</si>
  <si>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</si>
  <si>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</si>
  <si>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</si>
  <si>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</si>
  <si>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</si>
  <si>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</si>
  <si>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</si>
  <si>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</si>
  <si>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</si>
  <si>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</si>
  <si>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</si>
  <si>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</si>
  <si>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</si>
  <si>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</si>
  <si>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</si>
  <si>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</si>
  <si>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</si>
  <si>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</si>
  <si>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</si>
  <si>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</si>
  <si>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</si>
  <si>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</si>
  <si>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</si>
  <si>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</si>
  <si>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</si>
  <si>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</si>
  <si>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</si>
  <si>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</si>
  <si>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</si>
  <si>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</si>
  <si>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</si>
  <si>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</si>
  <si>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</si>
  <si>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</si>
  <si>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</si>
  <si>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</si>
  <si>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</si>
  <si>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</si>
  <si>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</si>
  <si>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</si>
  <si>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</si>
  <si>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</si>
  <si>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</si>
  <si>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</si>
  <si>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</si>
  <si>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</si>
  <si>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</si>
  <si>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</si>
  <si>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</si>
  <si>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</si>
  <si>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</si>
  <si>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</si>
  <si>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</si>
  <si>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</si>
  <si>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</si>
  <si>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</si>
  <si>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</si>
  <si>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</si>
  <si>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</si>
  <si>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</si>
  <si>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</si>
  <si>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</si>
  <si>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</si>
  <si>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</si>
  <si>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</si>
  <si>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</si>
  <si>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</si>
  <si>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</si>
  <si>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</si>
  <si>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</si>
  <si>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</si>
  <si>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</si>
  <si>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</si>
  <si>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</si>
  <si>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</si>
  <si>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</si>
  <si>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</si>
  <si>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</si>
  <si>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</si>
  <si>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</si>
  <si>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</si>
  <si>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</si>
  <si>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</si>
  <si>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</si>
  <si>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</si>
  <si>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</si>
  <si>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</si>
  <si>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</si>
  <si>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</si>
  <si>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</si>
  <si>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</si>
  <si>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</si>
  <si>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</si>
  <si>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</si>
  <si>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</si>
  <si>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</si>
  <si>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</si>
  <si>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</si>
  <si>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</si>
  <si>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</si>
  <si>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</si>
  <si>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</si>
  <si>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</si>
  <si>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</si>
  <si>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</si>
  <si>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</si>
  <si>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</si>
  <si>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</si>
  <si>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</si>
  <si>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</si>
  <si>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</si>
  <si>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</si>
  <si>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</si>
  <si>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</si>
  <si>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</si>
  <si>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</si>
  <si>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</si>
  <si>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</si>
  <si>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</si>
  <si>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</si>
  <si>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</si>
  <si>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</si>
  <si>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</si>
  <si>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</si>
  <si>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</si>
  <si>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</si>
  <si>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</si>
  <si>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</si>
  <si>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</si>
  <si>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</si>
  <si>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</si>
  <si>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</si>
  <si>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</si>
  <si>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</si>
  <si>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</si>
  <si>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</si>
  <si>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</si>
  <si>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</si>
  <si>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</si>
  <si>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</si>
  <si>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</si>
  <si>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</si>
  <si>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</si>
  <si>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</si>
  <si>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</si>
  <si>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</si>
  <si>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</si>
  <si>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</si>
  <si>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</si>
  <si>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</si>
  <si>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</si>
  <si>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</si>
  <si>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</si>
  <si>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</si>
  <si>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</si>
  <si>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</si>
  <si>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</si>
  <si>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</si>
  <si>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</si>
  <si>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</si>
  <si>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</si>
  <si>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</si>
  <si>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</si>
  <si>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</si>
  <si>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</si>
  <si>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</si>
  <si>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</si>
  <si>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</si>
  <si>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</si>
  <si>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</si>
  <si>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</si>
  <si>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</si>
  <si>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</si>
  <si>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</si>
  <si>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</si>
  <si>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</si>
  <si>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</si>
  <si>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</si>
  <si>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</si>
  <si>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</si>
  <si>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</si>
  <si>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</si>
  <si>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</si>
  <si>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</si>
  <si>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</si>
  <si>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</si>
  <si>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</si>
  <si>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</si>
  <si>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</si>
  <si>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</si>
  <si>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</si>
  <si>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</si>
  <si>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</si>
  <si>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</si>
  <si>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</si>
  <si>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</si>
  <si>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</si>
  <si>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</si>
  <si>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</si>
  <si>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</si>
  <si>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</si>
  <si>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</si>
  <si>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</si>
  <si>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</si>
  <si>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</si>
  <si>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</si>
  <si>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</si>
  <si>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</si>
  <si>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</si>
  <si>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</si>
  <si>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</si>
  <si>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</si>
  <si>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</si>
  <si>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</si>
  <si>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</si>
  <si>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</si>
  <si>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</si>
  <si>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</si>
  <si>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</si>
  <si>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</si>
  <si>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</si>
  <si>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</si>
  <si>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</si>
  <si>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</si>
  <si>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</si>
  <si>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</si>
  <si>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</si>
  <si>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</si>
  <si>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</si>
  <si>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</si>
  <si>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</si>
  <si>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</si>
  <si>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</si>
  <si>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</si>
  <si>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</si>
  <si>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</si>
  <si>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</si>
  <si>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</si>
  <si>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</si>
  <si>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</si>
  <si>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</si>
  <si>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</si>
  <si>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</si>
  <si>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</si>
  <si>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</si>
  <si>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</si>
  <si>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</si>
  <si>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</si>
  <si>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</si>
  <si>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</si>
  <si>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</si>
  <si>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</si>
  <si>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</si>
  <si>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</si>
  <si>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</si>
  <si>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</si>
  <si>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</si>
  <si>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</si>
  <si>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</si>
  <si>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</si>
  <si>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</si>
  <si>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</si>
  <si>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</si>
  <si>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</si>
  <si>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</si>
  <si>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</si>
  <si>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</si>
  <si>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</si>
  <si>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</si>
  <si>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</si>
  <si>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</si>
  <si>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</si>
  <si>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</si>
  <si>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</si>
  <si>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</si>
  <si>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</si>
  <si>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</si>
  <si>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</si>
  <si>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</si>
  <si>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</si>
  <si>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</si>
  <si>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</si>
  <si>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</si>
  <si>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</si>
  <si>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</si>
  <si>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</si>
  <si>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</si>
  <si>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</si>
  <si>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</si>
  <si>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</si>
  <si>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</si>
  <si>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</si>
  <si>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</si>
  <si>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</si>
  <si>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</si>
  <si>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</si>
  <si>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</si>
  <si>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</si>
  <si>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</si>
  <si>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</si>
  <si>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</si>
  <si>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</si>
  <si>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</si>
  <si>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</si>
  <si>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</si>
  <si>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</si>
  <si>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</si>
  <si>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</si>
  <si>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</si>
  <si>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</si>
  <si>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</si>
  <si>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</si>
  <si>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出让</t>
  </si>
  <si>
    <t>房地产抵押价值</t>
  </si>
  <si>
    <r>
      <t>1</t>
    </r>
    <r>
      <rPr>
        <sz val="10"/>
        <color indexed="8"/>
        <rFont val="宋体"/>
        <family val="3"/>
        <charset val="134"/>
      </rPr>
      <t>幢</t>
    </r>
    <phoneticPr fontId="3" type="noConversion"/>
  </si>
  <si>
    <r>
      <t>2幢</t>
    </r>
    <r>
      <rPr>
        <sz val="10"/>
        <color indexed="8"/>
        <rFont val="宋体"/>
        <family val="3"/>
        <charset val="134"/>
      </rPr>
      <t/>
    </r>
  </si>
  <si>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</si>
  <si>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</si>
  <si>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</si>
  <si>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r>
      <t>6幢</t>
    </r>
    <r>
      <rPr>
        <sz val="10"/>
        <color indexed="8"/>
        <rFont val="宋体"/>
        <family val="3"/>
        <charset val="134"/>
      </rPr>
      <t/>
    </r>
  </si>
  <si>
    <t>是</t>
  </si>
  <si>
    <t>地上</t>
  </si>
  <si>
    <t>独立商业</t>
  </si>
  <si>
    <r>
      <t>1</t>
    </r>
    <r>
      <rPr>
        <sz val="10"/>
        <color indexed="8"/>
        <rFont val="宋体"/>
        <family val="3"/>
        <charset val="134"/>
      </rPr>
      <t>幢</t>
    </r>
    <phoneticPr fontId="7" type="noConversion"/>
  </si>
  <si>
    <r>
      <t>2-5</t>
    </r>
    <r>
      <rPr>
        <sz val="10"/>
        <color indexed="8"/>
        <rFont val="宋体"/>
        <family val="3"/>
        <charset val="134"/>
      </rPr>
      <t>幢</t>
    </r>
    <phoneticPr fontId="7" type="noConversion"/>
  </si>
  <si>
    <t>成新度</t>
  </si>
  <si>
    <t>收益法 (元)</t>
  </si>
  <si>
    <t>利息：取LPR加浮动点数</t>
  </si>
  <si>
    <t>1幢</t>
  </si>
  <si>
    <t>押二</t>
  </si>
  <si>
    <t>按租金收入计税</t>
  </si>
  <si>
    <t>钢混</t>
  </si>
  <si>
    <t>非生产用房</t>
  </si>
  <si>
    <t>售价</t>
  </si>
  <si>
    <t>正常</t>
  </si>
  <si>
    <t>好</t>
  </si>
  <si>
    <t>较好</t>
  </si>
  <si>
    <t>一般</t>
  </si>
  <si>
    <t>较差</t>
  </si>
  <si>
    <t>差</t>
  </si>
  <si>
    <t>大</t>
  </si>
  <si>
    <t>较大</t>
  </si>
  <si>
    <t>较小</t>
  </si>
  <si>
    <t>小</t>
  </si>
  <si>
    <t>1层</t>
  </si>
  <si>
    <t>2层</t>
  </si>
  <si>
    <t>3层</t>
  </si>
  <si>
    <t>4层</t>
  </si>
  <si>
    <t>1-2层</t>
  </si>
  <si>
    <t>1-3层</t>
  </si>
  <si>
    <t>1-4层</t>
  </si>
  <si>
    <t>商业街</t>
  </si>
  <si>
    <t>底商</t>
  </si>
  <si>
    <t>精装修</t>
  </si>
  <si>
    <t>六通</t>
  </si>
  <si>
    <t>五通</t>
  </si>
  <si>
    <t>可餐饮</t>
  </si>
  <si>
    <t>不可餐椅</t>
  </si>
  <si>
    <t>超高层高</t>
  </si>
  <si>
    <t>标准层高</t>
  </si>
  <si>
    <t>比例较适宜</t>
  </si>
  <si>
    <t>普通装修</t>
  </si>
  <si>
    <t>简单装修</t>
  </si>
  <si>
    <t>毛坯</t>
  </si>
  <si>
    <t>商业</t>
    <phoneticPr fontId="31" type="noConversion"/>
  </si>
  <si>
    <t>30-40（含）</t>
  </si>
  <si>
    <t>较好</t>
    <phoneticPr fontId="31" type="noConversion"/>
  </si>
  <si>
    <t>较好</t>
    <phoneticPr fontId="31" type="noConversion"/>
  </si>
  <si>
    <t>现房</t>
  </si>
  <si>
    <t>项目局部</t>
  </si>
  <si>
    <t>比较法-商业</t>
  </si>
  <si>
    <r>
      <t>1-3</t>
    </r>
    <r>
      <rPr>
        <sz val="10"/>
        <color indexed="8"/>
        <rFont val="宋体"/>
        <family val="3"/>
        <charset val="134"/>
      </rPr>
      <t>层</t>
    </r>
    <phoneticPr fontId="3" type="noConversion"/>
  </si>
  <si>
    <r>
      <t>1-4</t>
    </r>
    <r>
      <rPr>
        <sz val="10"/>
        <color indexed="8"/>
        <rFont val="宋体"/>
        <family val="3"/>
        <charset val="134"/>
      </rPr>
      <t>层</t>
    </r>
    <phoneticPr fontId="3" type="noConversion"/>
  </si>
  <si>
    <t>中建大观商铺</t>
    <phoneticPr fontId="3" type="noConversion"/>
  </si>
  <si>
    <t>富力长江府商铺</t>
    <phoneticPr fontId="3" type="noConversion"/>
  </si>
  <si>
    <t>米山人家商铺</t>
    <phoneticPr fontId="3"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</si>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</sst>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34" fillId="0" borderId="5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81" fontId="49" fillId="20" borderId="8" xfId="0" applyNumberFormat="1" applyFont="1" applyFill="1" applyBorder="1" applyAlignment="1" applyProtection="1">
      <alignment horizontal="center" vertical="center"/>
      <protection locked="0"/>
    </xf>
    <xf numFmtId="181" fontId="46" fillId="20" borderId="24" xfId="0" applyNumberFormat="1" applyFont="1" applyFill="1" applyBorder="1" applyAlignment="1" applyProtection="1">
      <alignment horizontal="center" vertical="center"/>
      <protection locked="0"/>
    </xf>
    <xf numFmtId="181" fontId="49" fillId="20" borderId="24" xfId="0"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受贵公司委托，我公司对进行了预评估。</v>
      </c>
    </row>
    <row r="7" spans="1:2" s="1363" customFormat="1">
      <c r="A7" s="1361" t="s">
        <v>1231</v>
      </c>
      <c r="B7" s="1362" t="str">
        <f>'预评函-1'!A7</f>
        <v>估价对象为房地产，为所有。根据《国有土地使用证》[]，估价对象（分摊）出让国有建设用地使用权面积为16322平方米，建筑面积为27173.91平方米。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估价对象为房地产,属开发建设的，该项目尚在开发建设中。根据《国有土地使用证》[]，估价对象（分摊）出让国有建设用地使用权面积为16322平方米，规划建筑面积为27173.91平方米。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为估价委托人了解估价对象房地产市场价值提供参考依据。</v>
      </c>
    </row>
    <row r="12" spans="1:2" s="1363" customFormat="1">
      <c r="A12" s="1361" t="s">
        <v>1193</v>
      </c>
      <c r="B12" s="1362" t="str">
        <f>'预评函-1'!A15</f>
        <v>2021年12月14日（评估专业人员实地查勘之日）</v>
      </c>
    </row>
    <row r="13" spans="1:2" s="1363" customFormat="1">
      <c r="A13" s="1361" t="s">
        <v>1194</v>
      </c>
      <c r="B13" s="1362"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本次评估采用的主估价方法为比较法和收益法。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t="e">
        <f ca="1">'预评函-2'!D5</f>
        <v>#REF!</v>
      </c>
    </row>
    <row r="21" spans="1:2" s="1363" customFormat="1">
      <c r="A21" s="1361" t="s">
        <v>1202</v>
      </c>
      <c r="B21" s="1362" t="e">
        <f ca="1">'预评函-2'!D7</f>
        <v>#REF!</v>
      </c>
    </row>
    <row r="22" spans="1:2" s="1363" customFormat="1">
      <c r="A22" s="1361" t="s">
        <v>1203</v>
      </c>
      <c r="B22" s="1362" t="e">
        <f ca="1">'预评函-2'!D6</f>
        <v>#REF!</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t="e">
        <f ca="1">'预评函-2'!D13</f>
        <v>#REF!</v>
      </c>
    </row>
    <row r="31" spans="1:2" s="1363" customFormat="1">
      <c r="A31" s="1361" t="s">
        <v>1241</v>
      </c>
      <c r="B31" s="1362" t="e">
        <f ca="1">'预评函-2'!D15</f>
        <v>#REF!</v>
      </c>
    </row>
    <row r="32" spans="1:2" s="1363" customFormat="1">
      <c r="A32" s="1361" t="s">
        <v>1208</v>
      </c>
      <c r="B32" s="1362" t="e">
        <f ca="1">'预评函-2'!D14</f>
        <v>#REF!</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27173.91</v>
      </c>
    </row>
    <row r="44" spans="1:2" s="1363" customFormat="1">
      <c r="A44" s="1361" t="s">
        <v>1240</v>
      </c>
      <c r="B44" s="1362" t="str">
        <f>'预评函-3'!C2</f>
        <v>(分摊)土地面积</v>
      </c>
    </row>
    <row r="45" spans="1:2" s="1363" customFormat="1">
      <c r="A45" s="1361" t="s">
        <v>1212</v>
      </c>
      <c r="B45" s="1362">
        <f>'预评函-3'!C4</f>
        <v>16322</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2.本次评估设定估价对象房地产权属无争议，未被查封或者以其他形式限制其房地产权利，未设定抵押权等他项权利，不涉及第三方权利义务。</v>
      </c>
    </row>
    <row r="59" spans="1:2" s="1363" customFormat="1">
      <c r="A59" s="1361" t="s">
        <v>1219</v>
      </c>
      <c r="B59" s="1362" t="str">
        <f>'预评函-4'!A13</f>
        <v>——</v>
      </c>
    </row>
    <row r="60" spans="1:2" s="1363" customFormat="1">
      <c r="A60" s="1361" t="s">
        <v>1220</v>
      </c>
      <c r="B60" s="1362" t="str">
        <f>'预评函-4'!A14</f>
        <v>——</v>
      </c>
    </row>
    <row r="61" spans="1:2" s="1363" customFormat="1">
      <c r="A61" s="1361" t="s">
        <v>1221</v>
      </c>
      <c r="B61" s="1362" t="str">
        <f>'预评函-4'!A15</f>
        <v>——</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v>
      </c>
    </row>
    <row r="65" spans="1:2" s="1363" customFormat="1">
      <c r="A65" s="1361" t="s">
        <v>1224</v>
      </c>
      <c r="B65" s="13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3030</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08"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1737" t="s">
        <v>832</v>
      </c>
      <c r="C54" s="1734" t="s">
        <v>1248</v>
      </c>
    </row>
    <row r="55" spans="1:4">
      <c r="A55" s="3108"/>
      <c r="B55" s="1737" t="s">
        <v>833</v>
      </c>
      <c r="C55" s="1734" t="s">
        <v>1249</v>
      </c>
    </row>
    <row r="56" spans="1:4">
      <c r="A56" s="3108"/>
      <c r="B56" s="1737" t="s">
        <v>834</v>
      </c>
      <c r="C56" s="1734" t="s">
        <v>1253</v>
      </c>
    </row>
    <row r="57" spans="1:4">
      <c r="A57" s="3108"/>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2914</v>
      </c>
      <c r="B1" s="3109" t="str">
        <f>IF(B10="北京市","北京市",C10)&amp;F10&amp;IF(结果表!G1="在建","出让国有建设用地使用权及在建建筑物",IF(结果表!G1="土地","出让国有建设用地使用权",))&amp;B9&amp;"预评估"</f>
        <v>预评估</v>
      </c>
      <c r="C1" s="3110"/>
      <c r="D1" s="3110"/>
      <c r="E1" s="3110"/>
      <c r="F1" s="3110"/>
      <c r="G1" s="3110"/>
      <c r="H1" s="3110"/>
      <c r="I1" s="3111"/>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
      </c>
      <c r="T1" s="1929"/>
      <c r="U1" s="1929"/>
      <c r="V1" s="1929"/>
      <c r="W1" s="1929"/>
      <c r="X1" s="1929"/>
      <c r="Y1" s="1929"/>
      <c r="Z1" s="1929"/>
      <c r="AA1" s="1929"/>
      <c r="AB1" s="1929"/>
    </row>
    <row r="2" spans="1:28">
      <c r="A2" s="2589" t="s">
        <v>2915</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7" t="s">
        <v>2916</v>
      </c>
      <c r="B3" s="2595">
        <v>44544</v>
      </c>
      <c r="C3" s="2596" t="s">
        <v>2917</v>
      </c>
      <c r="D3" s="2595">
        <f>B3</f>
        <v>44544</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2918</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2919</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2920</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2921</v>
      </c>
      <c r="B7" s="2609"/>
      <c r="C7" s="2607"/>
      <c r="D7" s="2608"/>
      <c r="E7" s="2887"/>
      <c r="F7" s="2889"/>
      <c r="G7" s="2889"/>
      <c r="H7" s="2889"/>
      <c r="I7" s="2889"/>
      <c r="J7" s="2663"/>
      <c r="K7" s="2840"/>
      <c r="L7" s="2837"/>
      <c r="M7" s="2837"/>
      <c r="N7" s="2663"/>
      <c r="O7" s="2674"/>
      <c r="P7" s="2663"/>
      <c r="Q7" s="2663"/>
      <c r="R7" s="2663"/>
    </row>
    <row r="8" spans="1:28">
      <c r="A8" s="2610" t="s">
        <v>2922</v>
      </c>
      <c r="B8" s="2611"/>
      <c r="C8" s="2612"/>
      <c r="D8" s="3112" t="s">
        <v>2923</v>
      </c>
      <c r="E8" s="2613" t="s">
        <v>3057</v>
      </c>
      <c r="F8" s="2614"/>
      <c r="G8" s="2888"/>
      <c r="H8" s="2888"/>
      <c r="I8" s="2888"/>
      <c r="J8" s="2663"/>
      <c r="K8" s="2838"/>
      <c r="L8" s="2837"/>
      <c r="M8" s="2837"/>
      <c r="N8" s="2663"/>
      <c r="O8" s="2674"/>
      <c r="P8" s="2663"/>
      <c r="Q8" s="2663"/>
      <c r="R8" s="2663"/>
    </row>
    <row r="9" spans="1:28" ht="13.5" thickBot="1">
      <c r="A9" s="2615" t="s">
        <v>2924</v>
      </c>
      <c r="B9" s="2616"/>
      <c r="C9" s="2617"/>
      <c r="D9" s="3113"/>
      <c r="E9" s="2616"/>
      <c r="F9" s="2618"/>
      <c r="G9" s="2890"/>
      <c r="H9" s="2890"/>
      <c r="I9" s="2890"/>
      <c r="J9" s="2663"/>
      <c r="K9" s="2840"/>
      <c r="L9" s="2837"/>
      <c r="M9" s="2837"/>
      <c r="N9" s="2663"/>
      <c r="O9" s="2674"/>
      <c r="P9" s="2663"/>
      <c r="Q9" s="2663"/>
      <c r="R9" s="2663"/>
    </row>
    <row r="10" spans="1:28" ht="13.5" thickTop="1">
      <c r="A10" s="2619" t="s">
        <v>2925</v>
      </c>
      <c r="B10" s="2620"/>
      <c r="C10" s="2621"/>
      <c r="D10" s="2604"/>
      <c r="E10" s="2622" t="s">
        <v>2926</v>
      </c>
      <c r="F10" s="2891"/>
      <c r="G10" s="2892"/>
      <c r="H10" s="2893"/>
      <c r="I10" s="2894"/>
      <c r="J10" s="2663"/>
      <c r="K10" s="2840"/>
      <c r="L10" s="2837"/>
      <c r="M10" s="2837"/>
      <c r="N10" s="2663"/>
      <c r="O10" s="2674"/>
      <c r="P10" s="2663"/>
      <c r="Q10" s="2663"/>
      <c r="R10" s="2663"/>
    </row>
    <row r="11" spans="1:28">
      <c r="A11" s="2623" t="s">
        <v>2927</v>
      </c>
      <c r="B11" s="2624" t="s">
        <v>3120</v>
      </c>
      <c r="C11" s="2625"/>
      <c r="D11" s="2626"/>
      <c r="E11" s="2592"/>
      <c r="F11" s="2592"/>
      <c r="G11" s="2592"/>
      <c r="H11" s="2592"/>
      <c r="I11" s="2592"/>
      <c r="J11" s="2663"/>
      <c r="K11" s="2840"/>
      <c r="L11" s="2837"/>
      <c r="M11" s="2837"/>
      <c r="N11" s="2663"/>
      <c r="O11" s="2674"/>
      <c r="P11" s="2663"/>
      <c r="Q11" s="2663"/>
      <c r="R11" s="2663"/>
    </row>
    <row r="12" spans="1:28">
      <c r="A12" s="2627" t="s">
        <v>2928</v>
      </c>
      <c r="B12" s="2624" t="s">
        <v>3056</v>
      </c>
      <c r="C12" s="328"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39"/>
      <c r="B13" s="2629"/>
      <c r="C13" s="2630" t="s">
        <v>2936</v>
      </c>
      <c r="D13" s="963"/>
      <c r="E13" s="963">
        <v>55892</v>
      </c>
      <c r="F13" s="963"/>
      <c r="G13" s="963"/>
      <c r="H13" s="963"/>
      <c r="I13" s="963"/>
      <c r="J13" s="2663"/>
      <c r="K13" s="2840"/>
      <c r="L13" s="2837"/>
      <c r="M13" s="2837"/>
      <c r="N13" s="2663"/>
      <c r="O13" s="2674"/>
      <c r="P13" s="2663"/>
      <c r="Q13" s="2663"/>
      <c r="R13" s="2663"/>
    </row>
    <row r="14" spans="1:28">
      <c r="A14" s="1239"/>
      <c r="B14" s="2629"/>
      <c r="C14" s="2630" t="s">
        <v>2937</v>
      </c>
      <c r="D14" s="2631"/>
      <c r="E14" s="2631">
        <v>40</v>
      </c>
      <c r="F14" s="2631"/>
      <c r="G14" s="2631"/>
      <c r="H14" s="2631"/>
      <c r="I14" s="2631"/>
      <c r="J14" s="2663"/>
      <c r="K14" s="2841"/>
      <c r="L14" s="2837"/>
      <c r="M14" s="2837"/>
      <c r="N14" s="2663"/>
      <c r="O14" s="2674"/>
      <c r="P14" s="2663"/>
      <c r="Q14" s="2663"/>
      <c r="R14" s="2663"/>
    </row>
    <row r="15" spans="1:28">
      <c r="A15" s="325"/>
      <c r="B15" s="2632"/>
      <c r="C15" s="2633" t="s">
        <v>2938</v>
      </c>
      <c r="D15" s="2634" t="str">
        <f>IF(B12="出让",IF(D13="","",ROUNDDOWN(MIN((D13-$D$3)/365,D14),2)),D14)</f>
        <v/>
      </c>
      <c r="E15" s="2634">
        <f>IF(B12="出让",IF(E13="","",ROUNDDOWN(MIN((E13-$D$3)/365,E14),2)),E14)</f>
        <v>31.09</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2939</v>
      </c>
      <c r="B16" s="3119"/>
      <c r="C16" s="3120"/>
      <c r="D16" s="3121"/>
      <c r="E16" s="2637" t="s">
        <v>2940</v>
      </c>
      <c r="F16" s="3122"/>
      <c r="G16" s="3123"/>
      <c r="H16" s="3123"/>
      <c r="I16" s="3124"/>
      <c r="J16" s="2663"/>
      <c r="K16" s="2842"/>
      <c r="L16" s="2675"/>
      <c r="M16" s="2675"/>
      <c r="N16" s="2733"/>
      <c r="O16" s="2675"/>
      <c r="P16" s="2733"/>
      <c r="Q16" s="2663"/>
      <c r="R16" s="2663"/>
    </row>
    <row r="17" spans="1:28">
      <c r="A17" s="318" t="s">
        <v>2941</v>
      </c>
      <c r="B17" s="307" t="s">
        <v>2942</v>
      </c>
      <c r="C17" s="11">
        <f>'数据-汇总表'!E3</f>
        <v>27173.91</v>
      </c>
      <c r="D17" s="2543" t="s">
        <v>2943</v>
      </c>
      <c r="E17" s="3125" t="s">
        <v>2944</v>
      </c>
      <c r="F17" s="3126"/>
      <c r="G17" s="3126"/>
      <c r="H17" s="3126"/>
      <c r="I17" s="3127"/>
      <c r="J17" s="2663"/>
      <c r="K17" s="2843"/>
      <c r="L17" s="2675"/>
      <c r="M17" s="2675"/>
      <c r="N17" s="2733"/>
      <c r="O17" s="2675"/>
      <c r="P17" s="2733"/>
      <c r="Q17" s="2663"/>
      <c r="R17" s="2663"/>
      <c r="S17" s="2663"/>
      <c r="T17" s="2663"/>
      <c r="U17" s="2663"/>
      <c r="V17" s="2663"/>
    </row>
    <row r="18" spans="1:28" ht="24.75" thickBot="1">
      <c r="A18" s="2638" t="s">
        <v>2945</v>
      </c>
      <c r="B18" s="1248" t="s">
        <v>2946</v>
      </c>
      <c r="C18" s="2639">
        <f>'数据-汇总表'!D3</f>
        <v>16322</v>
      </c>
      <c r="D18" s="1250" t="s">
        <v>2947</v>
      </c>
      <c r="E18" s="3128" t="s">
        <v>2948</v>
      </c>
      <c r="F18" s="3129"/>
      <c r="G18" s="3129"/>
      <c r="H18" s="3129"/>
      <c r="I18" s="3130"/>
      <c r="J18" s="2663"/>
      <c r="K18" s="2843"/>
      <c r="L18" s="2675"/>
      <c r="M18" s="2675"/>
      <c r="N18" s="2733"/>
      <c r="O18" s="2675"/>
      <c r="P18" s="2733"/>
      <c r="Q18" s="2663"/>
      <c r="R18" s="2663"/>
      <c r="S18" s="2663"/>
      <c r="T18" s="2663"/>
      <c r="U18" s="2663"/>
      <c r="V18" s="2663"/>
    </row>
    <row r="19" spans="1:28" ht="37.5" thickTop="1" thickBot="1">
      <c r="A19" s="332" t="s">
        <v>1741</v>
      </c>
      <c r="B19" s="312" t="s">
        <v>2949</v>
      </c>
      <c r="C19" s="1746"/>
      <c r="D19" s="1747" t="s">
        <v>2950</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2951</v>
      </c>
      <c r="B20" s="3115" t="s">
        <v>2952</v>
      </c>
      <c r="C20" s="3116"/>
      <c r="D20" s="3117" t="s">
        <v>2953</v>
      </c>
      <c r="E20" s="3118"/>
      <c r="F20" s="2872" t="s">
        <v>1742</v>
      </c>
      <c r="G20" s="2889"/>
      <c r="H20" s="2889"/>
      <c r="I20" s="2889"/>
      <c r="J20" s="2663"/>
      <c r="K20" s="3114" t="s">
        <v>2954</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2955</v>
      </c>
      <c r="C21" s="2859" t="s">
        <v>1743</v>
      </c>
      <c r="D21" s="1751" t="s">
        <v>2956</v>
      </c>
      <c r="E21" s="2860" t="s">
        <v>1743</v>
      </c>
      <c r="F21" s="2873"/>
      <c r="G21" s="2889"/>
      <c r="H21" s="2889"/>
      <c r="I21" s="2889"/>
      <c r="J21" s="2663"/>
      <c r="K21" s="3114"/>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2957</v>
      </c>
      <c r="C22" s="2859" t="s">
        <v>1744</v>
      </c>
      <c r="D22" s="2888"/>
      <c r="E22" s="2888"/>
      <c r="F22" s="2888"/>
      <c r="G22" s="2889"/>
      <c r="H22" s="2889"/>
      <c r="I22" s="2889"/>
      <c r="J22" s="2663"/>
      <c r="K22" s="3114"/>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2" t="s">
        <v>2960</v>
      </c>
      <c r="B27" s="325"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2"/>
      <c r="B28" s="307"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2"/>
      <c r="B29" s="307"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3"/>
      <c r="B30" s="307" t="s">
        <v>2964</v>
      </c>
      <c r="C30" s="3134"/>
      <c r="D30" s="3135"/>
      <c r="E30" s="2889"/>
      <c r="F30" s="2889"/>
      <c r="G30" s="2889"/>
      <c r="H30" s="2889"/>
      <c r="I30" s="2889"/>
      <c r="J30" s="2663"/>
      <c r="K30" s="2840"/>
      <c r="L30" s="2837"/>
      <c r="M30" s="2837"/>
      <c r="N30" s="2663"/>
      <c r="O30" s="2674"/>
      <c r="P30" s="2663"/>
      <c r="Q30" s="2663"/>
      <c r="R30" s="2663"/>
      <c r="S30" s="2663"/>
      <c r="T30" s="2663"/>
      <c r="U30" s="2663"/>
      <c r="V30" s="2663"/>
    </row>
    <row r="31" spans="1:28">
      <c r="A31" s="3136" t="s">
        <v>2965</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37"/>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37"/>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7" t="s">
        <v>2966</v>
      </c>
      <c r="B34" s="2212"/>
      <c r="C34" s="2212"/>
      <c r="D34" s="2212"/>
      <c r="E34" s="2212"/>
      <c r="F34" s="2212"/>
      <c r="G34" s="2212"/>
      <c r="H34" s="2212"/>
      <c r="I34" s="2889"/>
      <c r="J34" s="2663"/>
      <c r="K34" s="2651">
        <f>COUNTIF(B34:H34,"——")</f>
        <v>0</v>
      </c>
      <c r="L34" s="328" t="s">
        <v>2967</v>
      </c>
      <c r="M34" s="328" t="s">
        <v>2968</v>
      </c>
      <c r="N34" s="328" t="s">
        <v>2969</v>
      </c>
      <c r="O34" s="328" t="s">
        <v>2970</v>
      </c>
      <c r="P34" s="328" t="s">
        <v>2971</v>
      </c>
      <c r="Q34" s="328" t="s">
        <v>2972</v>
      </c>
      <c r="R34" s="328" t="s">
        <v>2973</v>
      </c>
      <c r="S34" s="3131" t="s">
        <v>2974</v>
      </c>
      <c r="T34" s="2652" t="str">
        <f>NUMBERSTRING(7-K34,1)&amp;"通"</f>
        <v>七通</v>
      </c>
      <c r="U34" s="2663"/>
      <c r="V34" s="2663"/>
    </row>
    <row r="35" spans="1:30">
      <c r="A35" s="2653"/>
      <c r="B35" s="3138" t="s">
        <v>2975</v>
      </c>
      <c r="C35" s="3138"/>
      <c r="D35" s="3138"/>
      <c r="E35" s="3138"/>
      <c r="F35" s="671">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31"/>
      <c r="T35" s="334" t="str">
        <f>IF(T34="一通",L35,IF(T34="二通",M35,IF(T34="三通",N35,IF(T34="四通",O35,IF(T34="五通",P35,IF(T34="六通",Q35,R35))))))</f>
        <v>、、、、、、</v>
      </c>
      <c r="U35" s="2663"/>
      <c r="V35" s="2663"/>
    </row>
    <row r="36" spans="1:30">
      <c r="A36" s="2654"/>
      <c r="B36" s="671" t="s">
        <v>2931</v>
      </c>
      <c r="C36" s="671" t="s">
        <v>2932</v>
      </c>
      <c r="D36" s="671" t="s">
        <v>2930</v>
      </c>
      <c r="E36" s="671"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2979</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8"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27" customFormat="1">
      <c r="A43" s="1753"/>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7" customFormat="1">
      <c r="A44" s="1753"/>
      <c r="B44" s="1753"/>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7" customFormat="1">
      <c r="A45" s="1753"/>
      <c r="B45" s="1753"/>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7" customFormat="1">
      <c r="A46" s="1753"/>
      <c r="B46" s="1753"/>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7" customFormat="1">
      <c r="A47" s="1753"/>
      <c r="B47" s="1753"/>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7" customFormat="1">
      <c r="A48" s="1753"/>
      <c r="B48" s="1753"/>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7" customFormat="1">
      <c r="A49" s="1753"/>
      <c r="B49" s="1753"/>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7" customFormat="1">
      <c r="A50" s="1753"/>
      <c r="B50" s="1753"/>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7" customFormat="1">
      <c r="A51" s="1753"/>
      <c r="B51" s="1753"/>
      <c r="C51" s="1180"/>
      <c r="D51" s="1180"/>
      <c r="E51" s="1180"/>
      <c r="F51" s="1180"/>
      <c r="G51" s="1180"/>
      <c r="H51" s="1180"/>
      <c r="I51" s="1180"/>
      <c r="J51" s="2661"/>
      <c r="K51" s="2662"/>
      <c r="L51" s="2662"/>
      <c r="M51" s="1180"/>
      <c r="N51" s="1180"/>
      <c r="O51" s="1180"/>
      <c r="P51" s="1180"/>
      <c r="Q51" s="1180"/>
      <c r="R51" s="1180"/>
    </row>
    <row r="52" spans="1:22" s="1927" customFormat="1">
      <c r="A52" s="1753"/>
      <c r="B52" s="1753"/>
      <c r="C52" s="1753"/>
      <c r="D52" s="1753"/>
      <c r="E52" s="1753"/>
      <c r="F52" s="1180"/>
      <c r="G52" s="1753"/>
      <c r="H52" s="1753"/>
      <c r="I52" s="1753"/>
      <c r="J52" s="2664"/>
      <c r="K52" s="2662"/>
      <c r="L52" s="2662"/>
      <c r="M52" s="2662"/>
      <c r="N52" s="1753"/>
      <c r="O52" s="1753"/>
      <c r="P52" s="1753"/>
      <c r="Q52" s="1753"/>
      <c r="R52" s="1753"/>
    </row>
    <row r="53" spans="1:22" s="1927" customFormat="1">
      <c r="A53" s="1753"/>
      <c r="B53" s="1753"/>
      <c r="C53" s="1753"/>
      <c r="D53" s="1753"/>
      <c r="E53" s="1753"/>
      <c r="F53" s="1180"/>
      <c r="G53" s="1753"/>
      <c r="H53" s="1753"/>
      <c r="I53" s="1753"/>
      <c r="J53" s="2664"/>
      <c r="K53" s="2662"/>
      <c r="L53" s="2662"/>
      <c r="M53" s="2662"/>
      <c r="N53" s="1753"/>
      <c r="O53" s="1753"/>
      <c r="P53" s="1753"/>
      <c r="Q53" s="1753"/>
      <c r="R53" s="1753"/>
    </row>
    <row r="54" spans="1:22" s="1927" customFormat="1">
      <c r="A54" s="1753"/>
      <c r="B54" s="1753"/>
      <c r="C54" s="1753"/>
      <c r="D54" s="1753"/>
      <c r="E54" s="1753"/>
      <c r="F54" s="1180"/>
      <c r="G54" s="1753"/>
      <c r="H54" s="1753"/>
      <c r="I54" s="1753"/>
      <c r="J54" s="2664"/>
      <c r="K54" s="2662"/>
      <c r="L54" s="2662"/>
      <c r="M54" s="2662"/>
      <c r="N54" s="1753"/>
      <c r="O54" s="1753"/>
      <c r="P54" s="1753"/>
      <c r="Q54" s="1753"/>
      <c r="R54" s="1753"/>
    </row>
    <row r="55" spans="1:22" s="1927" customFormat="1">
      <c r="A55" s="1753"/>
      <c r="B55" s="1753"/>
      <c r="C55" s="1753"/>
      <c r="D55" s="1753"/>
      <c r="E55" s="1753"/>
      <c r="F55" s="1180"/>
      <c r="G55" s="1753"/>
      <c r="H55" s="1753"/>
      <c r="I55" s="1753"/>
      <c r="J55" s="2664"/>
      <c r="K55" s="2662"/>
      <c r="L55" s="2662"/>
      <c r="M55" s="2662"/>
      <c r="N55" s="1753"/>
      <c r="O55" s="1753"/>
      <c r="P55" s="1753"/>
      <c r="Q55" s="1753"/>
      <c r="R55" s="1753"/>
    </row>
    <row r="56" spans="1:22" s="1927" customFormat="1">
      <c r="A56" s="1753"/>
      <c r="B56" s="1753"/>
      <c r="C56" s="1753"/>
      <c r="D56" s="1753"/>
      <c r="E56" s="1753"/>
      <c r="F56" s="1180"/>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16322</v>
      </c>
      <c r="B3" s="14">
        <f>IF(C3="否",G5-AT5,G5)</f>
        <v>27173.91</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27173.91</v>
      </c>
      <c r="H5" s="16">
        <f t="shared" ref="H5:AT5" si="0">SUM(H13:H656)</f>
        <v>27173.91</v>
      </c>
      <c r="I5" s="16">
        <f t="shared" si="0"/>
        <v>27173.91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27173.91</v>
      </c>
      <c r="BA5" s="18">
        <f t="shared" si="1"/>
        <v>27173.91</v>
      </c>
      <c r="BB5" s="18">
        <f t="shared" si="1"/>
        <v>27173.91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16322</v>
      </c>
      <c r="F6" s="16" t="s">
        <v>1</v>
      </c>
      <c r="G6" s="16" t="s">
        <v>2</v>
      </c>
      <c r="H6" s="20">
        <f>SUMIF(I$12:AB$12,"总值",I6:AB6)</f>
        <v>16322</v>
      </c>
      <c r="I6" s="16">
        <f t="shared" ref="I6:AB6" si="2">ROUND($A$3*I5/$B$3,2)</f>
        <v>16322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16322</v>
      </c>
      <c r="AZ6" s="16" t="s">
        <v>3</v>
      </c>
      <c r="BA6" s="16">
        <f>ROUND($AY$6*BA5/$AZ$5,2)</f>
        <v>16322</v>
      </c>
      <c r="BB6" s="16">
        <f>ROUND($AY$6*BB5/$AZ$5,2)</f>
        <v>16322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3065</v>
      </c>
      <c r="J9" s="916"/>
      <c r="K9" s="1786"/>
      <c r="L9" s="916"/>
      <c r="M9" s="1786"/>
      <c r="N9" s="916"/>
      <c r="O9" s="1786"/>
      <c r="P9" s="916"/>
      <c r="Q9" s="1786"/>
      <c r="R9" s="916"/>
      <c r="S9" s="1786"/>
      <c r="T9" s="916"/>
      <c r="U9" s="1786"/>
      <c r="V9" s="916"/>
      <c r="W9" s="1786"/>
      <c r="X9" s="1787"/>
      <c r="Y9" s="1786"/>
      <c r="Z9" s="916"/>
      <c r="AA9" s="1786"/>
      <c r="AB9" s="916"/>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1343</v>
      </c>
      <c r="J10" s="916"/>
      <c r="K10" s="1792"/>
      <c r="L10" s="916"/>
      <c r="M10" s="1792"/>
      <c r="N10" s="916"/>
      <c r="O10" s="1792"/>
      <c r="P10" s="916"/>
      <c r="Q10" s="1792"/>
      <c r="R10" s="916"/>
      <c r="S10" s="1792"/>
      <c r="T10" s="916"/>
      <c r="U10" s="1792"/>
      <c r="V10" s="916"/>
      <c r="W10" s="1792"/>
      <c r="X10" s="916"/>
      <c r="Y10" s="1792"/>
      <c r="Z10" s="916"/>
      <c r="AA10" s="1792"/>
      <c r="AB10" s="916"/>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t="s">
        <v>3066</v>
      </c>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t="str">
        <f>I11</f>
        <v>独立商业</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1180" t="s">
        <v>3058</v>
      </c>
      <c r="D13" s="1808" t="s">
        <v>3064</v>
      </c>
      <c r="E13" s="16">
        <f>IF($C$3="是",ROUND($A$3*G13/$B$3,2),ROUND($A$3*(G13-AT13)/$B$3,2))</f>
        <v>274.02999999999997</v>
      </c>
      <c r="F13" s="32"/>
      <c r="G13" s="33">
        <f>H13+AC13+AT13</f>
        <v>456.22</v>
      </c>
      <c r="H13" s="20">
        <f>SUMIF(I$12:AB$12,"总值",I13:AB13)</f>
        <v>456.22</v>
      </c>
      <c r="I13" s="1809">
        <v>456.22</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1幢</v>
      </c>
      <c r="AY13" s="1531">
        <f>ROUND($AY$6*AZ13/$AZ$5,2)</f>
        <v>274.02999999999997</v>
      </c>
      <c r="AZ13" s="16">
        <f>BA13+BL13</f>
        <v>456.22</v>
      </c>
      <c r="BA13" s="16">
        <f>SUM(BB13:BK13)</f>
        <v>456.22</v>
      </c>
      <c r="BB13" s="16">
        <f>IF($D13="是",I13-J13,0)</f>
        <v>456.22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1180" t="s">
        <v>3059</v>
      </c>
      <c r="D14" s="1808" t="s">
        <v>3064</v>
      </c>
      <c r="E14" s="16">
        <f>IF($C$3="是",ROUND($A$3*G14/$B$3,2),ROUND($A$3*(G14-AT14)/$B$3,2))</f>
        <v>2791.38</v>
      </c>
      <c r="F14" s="32"/>
      <c r="G14" s="33">
        <f>H14+AC14+AT14</f>
        <v>4647.26</v>
      </c>
      <c r="H14" s="20">
        <f>SUMIF(I$12:AB$12,"总值",I14:AB14)</f>
        <v>4647.26</v>
      </c>
      <c r="I14" s="1809">
        <v>4647.26</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2幢</v>
      </c>
      <c r="AY14" s="1531">
        <f>ROUND($AY$6*AZ14/$AZ$5,2)</f>
        <v>2791.38</v>
      </c>
      <c r="AZ14" s="16">
        <f>BA14+BL14</f>
        <v>4647.26</v>
      </c>
      <c r="BA14" s="16">
        <f>SUM(BB14:BK14)</f>
        <v>4647.26</v>
      </c>
      <c r="BB14" s="16">
        <f>IF($D14="是",I14-J14,0)</f>
        <v>4647.26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1180" t="s">
        <v>3060</v>
      </c>
      <c r="D15" s="1808" t="s">
        <v>3064</v>
      </c>
      <c r="E15" s="16">
        <f>IF($C$3="是",ROUND($A$3*G15/$B$3,2),ROUND($A$3*(G15-AT15)/$B$3,2))</f>
        <v>3689.69</v>
      </c>
      <c r="F15" s="32"/>
      <c r="G15" s="33">
        <f>H15+AC15+AT15</f>
        <v>6142.83</v>
      </c>
      <c r="H15" s="20">
        <f>SUMIF(I$12:AB$12,"总值",I15:AB15)</f>
        <v>6142.83</v>
      </c>
      <c r="I15" s="1809">
        <v>6142.83</v>
      </c>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t="str">
        <f t="shared" si="6"/>
        <v>3幢</v>
      </c>
      <c r="AY15" s="1531">
        <f>ROUND($AY$6*AZ15/$AZ$5,2)</f>
        <v>3689.69</v>
      </c>
      <c r="AZ15" s="16">
        <f>BA15+BL15</f>
        <v>6142.83</v>
      </c>
      <c r="BA15" s="16">
        <f>SUM(BB15:BK15)</f>
        <v>6142.83</v>
      </c>
      <c r="BB15" s="16">
        <f>IF($D15="是",I15-J15,0)</f>
        <v>6142.83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180" t="s">
        <v>3061</v>
      </c>
      <c r="D16" s="1808" t="s">
        <v>3064</v>
      </c>
      <c r="E16" s="16">
        <f>IF($C$3="是",ROUND($A$3*G16/$B$3,2),ROUND($A$3*(G16-AT16)/$B$3,2))</f>
        <v>3690.51</v>
      </c>
      <c r="F16" s="32"/>
      <c r="G16" s="33">
        <f>H16+AC16+AT16</f>
        <v>6144.19</v>
      </c>
      <c r="H16" s="20">
        <f>SUMIF(I$12:AB$12,"总值",I16:AB16)</f>
        <v>6144.19</v>
      </c>
      <c r="I16" s="1809">
        <v>6144.19</v>
      </c>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t="str">
        <f t="shared" si="6"/>
        <v>4幢</v>
      </c>
      <c r="AY16" s="1531">
        <f>ROUND($AY$6*AZ16/$AZ$5,2)</f>
        <v>3690.51</v>
      </c>
      <c r="AZ16" s="16">
        <f>BA16+BL16</f>
        <v>6144.19</v>
      </c>
      <c r="BA16" s="16">
        <f>SUM(BB16:BK16)</f>
        <v>6144.19</v>
      </c>
      <c r="BB16" s="16">
        <f>IF($D16="是",I16-J16,0)</f>
        <v>6144.19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180" t="s">
        <v>3062</v>
      </c>
      <c r="D17" s="1808" t="s">
        <v>3064</v>
      </c>
      <c r="E17" s="16">
        <f>IF($C$3="是",ROUND($A$3*G17/$B$3,2),ROUND($A$3*(G17-AT17)/$B$3,2))</f>
        <v>1724.13</v>
      </c>
      <c r="F17" s="32"/>
      <c r="G17" s="33">
        <f>H17+AC17+AT17</f>
        <v>2870.44</v>
      </c>
      <c r="H17" s="20">
        <f>SUMIF(I$12:AB$12,"总值",I17:AB17)</f>
        <v>2870.44</v>
      </c>
      <c r="I17" s="1809">
        <v>2870.44</v>
      </c>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t="str">
        <f t="shared" si="6"/>
        <v>5幢</v>
      </c>
      <c r="AY17" s="1531">
        <f>ROUND($AY$6*AZ17/$AZ$5,2)</f>
        <v>1724.13</v>
      </c>
      <c r="AZ17" s="16">
        <f>BA17+BL17</f>
        <v>2870.44</v>
      </c>
      <c r="BA17" s="16">
        <f>SUM(BB17:BK17)</f>
        <v>2870.44</v>
      </c>
      <c r="BB17" s="16">
        <f>IF($D17="是",I17-J17,0)</f>
        <v>2870.44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0" t="s">
        <v>3063</v>
      </c>
      <c r="D18" s="1808" t="s">
        <v>3064</v>
      </c>
      <c r="E18" s="35">
        <f t="shared" ref="E18:E112" si="7">IF($C$3="是",ROUND($A$3*G18/$B$3,2),ROUND($A$3*(G18-AT18)/$B$3,2))</f>
        <v>4152.2700000000004</v>
      </c>
      <c r="F18" s="36"/>
      <c r="G18" s="37">
        <f t="shared" ref="G18:G109" si="8">H18+AC18+AT18</f>
        <v>6912.97</v>
      </c>
      <c r="H18" s="38">
        <f t="shared" ref="H18:H109" si="9">SUMIF(I$12:AB$12,"总值",I18:AB18)</f>
        <v>6912.97</v>
      </c>
      <c r="I18" s="39">
        <v>6912.97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t="str">
        <f t="shared" ref="AX18:AX112" si="13">C18</f>
        <v>6幢</v>
      </c>
      <c r="AY18" s="42">
        <f t="shared" ref="AY18:AY109" si="14">ROUND($AY$6*AZ18/$AZ$5,2)</f>
        <v>4152.2700000000004</v>
      </c>
      <c r="AZ18" s="35">
        <f t="shared" ref="AZ18:AZ109" si="15">BA18+BL18</f>
        <v>6912.97</v>
      </c>
      <c r="BA18" s="35">
        <f t="shared" ref="BA18:BA109" si="16">SUM(BB18:BK18)</f>
        <v>6912.97</v>
      </c>
      <c r="BB18" s="35">
        <f t="shared" ref="BB18:BB109" si="17">IF($D18="是",I18-J18,0)</f>
        <v>6912.97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50" t="s">
        <v>1817</v>
      </c>
      <c r="B2" s="3150"/>
      <c r="C2" s="3150"/>
      <c r="D2" s="902" t="s">
        <v>1793</v>
      </c>
      <c r="E2" s="1822" t="s">
        <v>1794</v>
      </c>
      <c r="F2" s="2884"/>
      <c r="G2" s="2875"/>
      <c r="H2" s="2876"/>
      <c r="I2" s="2546" t="s">
        <v>1818</v>
      </c>
      <c r="J2" s="2884"/>
      <c r="K2" s="2884"/>
      <c r="L2" s="2884"/>
      <c r="M2" s="2884"/>
      <c r="N2" s="2886"/>
      <c r="O2" s="2884"/>
      <c r="P2" s="2884"/>
    </row>
    <row r="3" spans="1:16" ht="15.75" thickBot="1">
      <c r="A3" s="3151" t="s">
        <v>1791</v>
      </c>
      <c r="B3" s="3151"/>
      <c r="C3" s="3151"/>
      <c r="D3" s="46">
        <f>'数据-基础表'!AY6</f>
        <v>16322</v>
      </c>
      <c r="E3" s="46">
        <f>'数据-基础表'!AZ5</f>
        <v>27173.91</v>
      </c>
      <c r="F3" s="2884"/>
      <c r="G3" s="1305"/>
      <c r="H3" s="1155" t="s">
        <v>1792</v>
      </c>
      <c r="I3" s="962">
        <f>ROUND('数据-基础表'!B3/'数据-基础表'!A3,2)</f>
        <v>1.66</v>
      </c>
      <c r="J3" s="2884"/>
      <c r="K3" s="2884"/>
      <c r="L3" s="2884"/>
      <c r="M3" s="2884"/>
      <c r="N3" s="2886"/>
      <c r="O3" s="2884"/>
      <c r="P3" s="2884"/>
    </row>
    <row r="4" spans="1:16" ht="15">
      <c r="A4" s="3152"/>
      <c r="B4" s="3153"/>
      <c r="C4" s="3154"/>
      <c r="D4" s="1824" t="s">
        <v>1793</v>
      </c>
      <c r="E4" s="1825" t="s">
        <v>1794</v>
      </c>
      <c r="F4" s="2884"/>
      <c r="G4" s="2877" t="s">
        <v>1819</v>
      </c>
      <c r="H4" s="1155" t="s">
        <v>1799</v>
      </c>
      <c r="I4" s="962">
        <f>ROUND(SUMIF('数据-基础表'!I9:AS9,"地上",'数据-基础表'!I5:AS5)/'数据-基础表'!A3,2)</f>
        <v>1.66</v>
      </c>
      <c r="J4" s="2884"/>
      <c r="K4" s="2884"/>
      <c r="L4" s="2884"/>
      <c r="M4" s="2884"/>
      <c r="N4" s="2886"/>
      <c r="O4" s="2884"/>
      <c r="P4" s="2884"/>
    </row>
    <row r="5" spans="1:16">
      <c r="A5" s="47" t="s">
        <v>1795</v>
      </c>
      <c r="B5" s="3155" t="s">
        <v>1796</v>
      </c>
      <c r="C5" s="3155"/>
      <c r="D5" s="48">
        <f>ROUND($D$3*E5/$E$3,2)</f>
        <v>0</v>
      </c>
      <c r="E5" s="49">
        <f>SUMIF('数据-基础表'!$11:$11,"住宅",'数据-基础表'!$5:$5)</f>
        <v>0</v>
      </c>
      <c r="F5" s="2884"/>
      <c r="G5" s="1305"/>
      <c r="H5" s="1155" t="s">
        <v>1792</v>
      </c>
      <c r="I5" s="962">
        <f>ROUND(E31/D31,2)</f>
        <v>1.66</v>
      </c>
      <c r="J5" s="2884"/>
      <c r="K5" s="2884"/>
      <c r="L5" s="2884"/>
      <c r="M5" s="2884"/>
      <c r="N5" s="2884"/>
      <c r="O5" s="2884"/>
      <c r="P5" s="2884"/>
    </row>
    <row r="6" spans="1:16" ht="15" thickBot="1">
      <c r="A6" s="1827"/>
      <c r="B6" s="3155" t="s">
        <v>1797</v>
      </c>
      <c r="C6" s="3155"/>
      <c r="D6" s="48">
        <f>ROUND($D$3*E6/$E$3,2)</f>
        <v>16322</v>
      </c>
      <c r="E6" s="49">
        <f>E3-E5</f>
        <v>27173.91</v>
      </c>
      <c r="F6" s="2884"/>
      <c r="G6" s="2878" t="s">
        <v>1798</v>
      </c>
      <c r="H6" s="1306" t="s">
        <v>1799</v>
      </c>
      <c r="I6" s="2879">
        <f>ROUND(F31/D31,2)</f>
        <v>1.66</v>
      </c>
      <c r="J6" s="2884"/>
      <c r="K6" s="2884"/>
      <c r="L6" s="2884"/>
      <c r="M6" s="2884"/>
      <c r="N6" s="2884"/>
      <c r="O6" s="2884"/>
      <c r="P6" s="2884"/>
    </row>
    <row r="7" spans="1:16" ht="15.75" thickBot="1">
      <c r="A7" s="3147"/>
      <c r="B7" s="3148"/>
      <c r="C7" s="3149"/>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16322</v>
      </c>
      <c r="E8" s="51">
        <f>SUMIF('数据-基础表'!BB10:BK10,"地上",'数据-基础表'!BB5:BK5)</f>
        <v>27173.91</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16322</v>
      </c>
      <c r="E16" s="53">
        <f>SUM(E8:E15)</f>
        <v>27173.91</v>
      </c>
      <c r="F16" s="2884"/>
      <c r="G16" s="2885"/>
      <c r="H16" s="1831" t="s">
        <v>1821</v>
      </c>
      <c r="I16" s="1832"/>
      <c r="J16" s="1299"/>
      <c r="K16" s="3144" t="s">
        <v>1821</v>
      </c>
      <c r="L16" s="3145"/>
      <c r="M16" s="3145"/>
      <c r="N16" s="3145"/>
      <c r="O16" s="3145"/>
      <c r="P16" s="3146"/>
    </row>
    <row r="17" spans="1:19" ht="15">
      <c r="A17" s="1833" t="s">
        <v>1822</v>
      </c>
      <c r="B17" s="1834" t="s">
        <v>1823</v>
      </c>
      <c r="C17" s="1835" t="s">
        <v>1824</v>
      </c>
      <c r="D17" s="1836" t="s">
        <v>1812</v>
      </c>
      <c r="E17" s="1837" t="s">
        <v>1813</v>
      </c>
      <c r="F17" s="1838"/>
      <c r="G17" s="1839"/>
      <c r="H17" s="1840" t="s">
        <v>1825</v>
      </c>
      <c r="I17" s="1841" t="s">
        <v>1810</v>
      </c>
      <c r="J17" s="1299"/>
      <c r="K17" s="3141" t="s">
        <v>1826</v>
      </c>
      <c r="L17" s="3142"/>
      <c r="M17" s="3143"/>
      <c r="N17" s="3141" t="s">
        <v>1827</v>
      </c>
      <c r="O17" s="3142"/>
      <c r="P17" s="3143"/>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50" t="s">
        <v>1811</v>
      </c>
      <c r="C19" s="1851" t="s">
        <v>3067</v>
      </c>
      <c r="D19" s="48">
        <f>ROUND($D$3*E19/$E$3,2)</f>
        <v>274.02999999999997</v>
      </c>
      <c r="E19" s="56">
        <f t="shared" ref="E19:E26" si="1">SUM(F19:G19)</f>
        <v>456.22</v>
      </c>
      <c r="F19" s="3024">
        <f>'数据-基础表'!I13</f>
        <v>456.22</v>
      </c>
      <c r="G19" s="3025"/>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274.02999999999997</v>
      </c>
      <c r="S19" s="1156">
        <f t="shared" si="5"/>
        <v>456.22</v>
      </c>
    </row>
    <row r="20" spans="1:19">
      <c r="A20" s="1854"/>
      <c r="B20" s="50" t="s">
        <v>1839</v>
      </c>
      <c r="C20" s="1851" t="s">
        <v>3068</v>
      </c>
      <c r="D20" s="48">
        <f t="shared" ref="D20:D26" si="6">ROUND($D$3*E20/$E$3,2)</f>
        <v>16047.97</v>
      </c>
      <c r="E20" s="56">
        <f t="shared" si="1"/>
        <v>26717.69</v>
      </c>
      <c r="F20" s="3024">
        <f>SUM('数据-基础表'!I14:I18)</f>
        <v>26717.69</v>
      </c>
      <c r="G20" s="3025"/>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16047.97</v>
      </c>
      <c r="S20" s="1156">
        <f t="shared" si="5"/>
        <v>26717.69</v>
      </c>
    </row>
    <row r="21" spans="1:19">
      <c r="A21" s="1854"/>
      <c r="B21" s="50" t="s">
        <v>1839</v>
      </c>
      <c r="C21" s="1851"/>
      <c r="D21" s="48">
        <f t="shared" si="6"/>
        <v>0</v>
      </c>
      <c r="E21" s="56">
        <f t="shared" si="1"/>
        <v>0</v>
      </c>
      <c r="F21" s="3024"/>
      <c r="G21" s="3025"/>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6"/>
      <c r="G22" s="3027"/>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6"/>
      <c r="G23" s="3027"/>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6"/>
      <c r="G24" s="3027"/>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6"/>
      <c r="G25" s="3027"/>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6"/>
      <c r="G26" s="3027"/>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16322</v>
      </c>
      <c r="E27" s="1301">
        <f>IF(SUM(E19:E26)='数据-基础表'!BA5,SUM(E19:E26),IF(F27="地上面积有误","面积有误","地下面积有误"))</f>
        <v>27173.91</v>
      </c>
      <c r="F27" s="1300">
        <f>IF(SUM(F19:F26)=E8,SUM(F19:F26),"地上面积有误")</f>
        <v>27173.91</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16322</v>
      </c>
      <c r="S27" s="1155">
        <f>IF(SUM(S19:S26)=$E$3,SUM(S19:S26),SUM(S19:S26)&amp;"误差"&amp;ROUND(SUM(S19:S26)-E3,2))</f>
        <v>27173.91</v>
      </c>
    </row>
    <row r="28" spans="1:19">
      <c r="A28" s="1854"/>
      <c r="B28" s="50" t="s">
        <v>1841</v>
      </c>
      <c r="C28" s="1167"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2" t="s">
        <v>1844</v>
      </c>
      <c r="D31" s="683">
        <f>D27+D30</f>
        <v>16322</v>
      </c>
      <c r="E31" s="683">
        <f>E27+E30</f>
        <v>27173.91</v>
      </c>
      <c r="F31" s="684">
        <f>F27+F30</f>
        <v>27173.91</v>
      </c>
      <c r="G31" s="685">
        <f>G27+G30</f>
        <v>0</v>
      </c>
      <c r="H31" s="2884"/>
      <c r="I31" s="2884"/>
      <c r="J31" s="2884"/>
      <c r="K31" s="2884"/>
      <c r="L31" s="2884"/>
      <c r="M31" s="2884"/>
      <c r="N31" s="2884"/>
      <c r="O31" s="2884"/>
      <c r="P31" s="2884"/>
    </row>
    <row r="32" spans="1:19">
      <c r="A32" s="1826"/>
      <c r="B32" s="1826" t="s">
        <v>1845</v>
      </c>
      <c r="C32" s="1826"/>
      <c r="D32" s="1826"/>
      <c r="E32" s="1182">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C6" activePane="bottomRight" state="frozen"/>
      <selection activeCell="C50" sqref="C50"/>
      <selection pane="topRight" activeCell="C50" sqref="C50"/>
      <selection pane="bottomLeft" activeCell="C50" sqref="C50"/>
      <selection pane="bottomRight" activeCell="AG43" sqref="AG43"/>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6"/>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4">
        <f>项目基本情况!D3</f>
        <v>44544</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3069</v>
      </c>
      <c r="O5" s="1886" t="s">
        <v>1867</v>
      </c>
      <c r="P5" s="1889" t="s">
        <v>1868</v>
      </c>
      <c r="Q5" s="65" t="s">
        <v>1869</v>
      </c>
      <c r="R5" s="1890" t="s">
        <v>1870</v>
      </c>
      <c r="S5" s="1891" t="s">
        <v>1871</v>
      </c>
      <c r="T5" s="1892" t="s">
        <v>1872</v>
      </c>
      <c r="U5" s="1175" t="s">
        <v>1873</v>
      </c>
      <c r="V5" s="1176" t="s">
        <v>1874</v>
      </c>
      <c r="W5" s="1176" t="s">
        <v>1875</v>
      </c>
      <c r="X5" s="67"/>
      <c r="Y5" s="66" t="s">
        <v>1876</v>
      </c>
      <c r="Z5" s="1893" t="s">
        <v>1873</v>
      </c>
      <c r="AA5" s="1176" t="s">
        <v>1874</v>
      </c>
      <c r="AB5" s="1176" t="s">
        <v>1875</v>
      </c>
      <c r="AC5" s="67"/>
      <c r="AD5" s="67" t="s">
        <v>1876</v>
      </c>
      <c r="AE5" s="1175" t="s">
        <v>1877</v>
      </c>
      <c r="AF5" s="1176" t="s">
        <v>1878</v>
      </c>
      <c r="AG5" s="66" t="s">
        <v>1879</v>
      </c>
      <c r="AH5" s="1175" t="s">
        <v>1880</v>
      </c>
      <c r="AI5" s="1893" t="s">
        <v>1881</v>
      </c>
      <c r="AJ5" s="1893" t="s">
        <v>1882</v>
      </c>
      <c r="AK5" s="1176" t="s">
        <v>1883</v>
      </c>
      <c r="AL5" s="1176" t="s">
        <v>1884</v>
      </c>
      <c r="AM5" s="66" t="s">
        <v>1885</v>
      </c>
      <c r="AN5" s="1894" t="s">
        <v>1886</v>
      </c>
      <c r="AO5" s="1745" t="s">
        <v>1887</v>
      </c>
      <c r="AP5" s="1157"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1幢</v>
      </c>
      <c r="B6" s="1897" t="str">
        <f>IF(A6=0,"","经营性")</f>
        <v>经营性</v>
      </c>
      <c r="C6" s="1898" t="s">
        <v>1343</v>
      </c>
      <c r="D6" s="965">
        <f>SUMIF(项目基本情况!D$12:I$12,C6,项目基本情况!D$14:I$14)</f>
        <v>40</v>
      </c>
      <c r="E6" s="964">
        <f>IF(B6="","",SUMIF(项目基本情况!D$12:I$12,C6,项目基本情况!D$13:I$13))</f>
        <v>55892</v>
      </c>
      <c r="F6" s="68">
        <f>SUMIF(项目基本情况!D$12:I$12,C6,项目基本情况!D$15:I$15)</f>
        <v>31.09</v>
      </c>
      <c r="G6" s="69">
        <f>IF(ISERROR(ROUND(POWER(1+H6,D6-F6)*(POWER(1+H6,F6)-1)/(POWER(1+H6,D6)-1),3)),0,ROUND(POWER(1+H6,D6-F6)*(POWER(1+H6,F6)-1)/(POWER(1+H6,D6)-1),3))</f>
        <v>0.91</v>
      </c>
      <c r="H6" s="739">
        <v>0.05</v>
      </c>
      <c r="I6" s="739">
        <v>5.5E-2</v>
      </c>
      <c r="J6" s="70">
        <v>8.5000000000000006E-2</v>
      </c>
      <c r="K6" s="1159">
        <f>SUMIF('数据-汇总表'!C$19:C$33,A6,'数据-汇总表'!E$19:E$33)</f>
        <v>456.22</v>
      </c>
      <c r="L6" s="740">
        <v>3000</v>
      </c>
      <c r="M6" s="71">
        <f t="shared" ref="M6:M14" si="0">ROUND(K6*L6/10000,0)</f>
        <v>137</v>
      </c>
      <c r="N6" s="738">
        <f>ROUND(1-(2021-2012)/60,2)</f>
        <v>0.85</v>
      </c>
      <c r="O6" s="71" t="str">
        <f>IF($N$5="成新度","——",ROUND(M6*N6,0))</f>
        <v>——</v>
      </c>
      <c r="P6" s="72" t="str">
        <f>IF($N$5="成新度","——",M6-O6)</f>
        <v>——</v>
      </c>
      <c r="Q6" s="741">
        <v>0.15</v>
      </c>
      <c r="R6" s="73">
        <f ca="1">SUMIF('数据-汇总表'!C$19:C$33,A6,'数据-汇总表'!R$19:R$27)</f>
        <v>274.02999999999997</v>
      </c>
      <c r="S6" s="54">
        <f>IF('数据-汇总表'!$I$17="按面积比例",SUMIF('数据-汇总表'!C$19:C$33,A6,'数据-汇总表'!K$19:K$33),SUMIF('数据-汇总表'!C$19:C$33,A6,'数据-汇总表'!N$19:N$33))</f>
        <v>0</v>
      </c>
      <c r="T6" s="1332">
        <f>ROUND($L$14*S6/10000,0)</f>
        <v>0</v>
      </c>
      <c r="U6" s="74">
        <v>1.3</v>
      </c>
      <c r="V6" s="75">
        <v>2.5000000000000001E-2</v>
      </c>
      <c r="W6" s="75">
        <v>0.15</v>
      </c>
      <c r="X6" s="1169"/>
      <c r="Y6" s="76">
        <f>N6</f>
        <v>0.85</v>
      </c>
      <c r="Z6" s="77"/>
      <c r="AA6" s="70"/>
      <c r="AB6" s="70"/>
      <c r="AC6" s="1169"/>
      <c r="AD6" s="78"/>
      <c r="AE6" s="1170">
        <f ca="1">IF(AN6="",0,SUMIF(INDIRECT("'"&amp;AN6&amp;"'"&amp;"!E:E"),$AE$5,INDIRECT("'"&amp;AN6&amp;"'"&amp;"!F:F")))</f>
        <v>31.09</v>
      </c>
      <c r="AF6" s="1530"/>
      <c r="AG6" s="142">
        <f>IF(AF6="",0,AE6-AF6)</f>
        <v>0</v>
      </c>
      <c r="AH6" s="79"/>
      <c r="AI6" s="81">
        <v>365</v>
      </c>
      <c r="AJ6" s="82"/>
      <c r="AK6" s="83">
        <v>1.4999999999999999E-2</v>
      </c>
      <c r="AL6" s="3065">
        <v>2E-3</v>
      </c>
      <c r="AM6" s="3063">
        <v>0.02</v>
      </c>
      <c r="AN6" s="1899" t="s">
        <v>3070</v>
      </c>
      <c r="AO6" s="55">
        <f ca="1">SUMIF(INDIRECT("'"&amp;AN6&amp;"'"&amp;"!A:A"),"总价",INDIRECT("'"&amp;AN6&amp;"'"&amp;"!B:B"))</f>
        <v>232</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t="str">
        <f>'数据-汇总表'!C20</f>
        <v>2-5幢</v>
      </c>
      <c r="B7" s="1897" t="str">
        <f t="shared" ref="B7:B13" si="1">IF(A7=0,"","经营性")</f>
        <v>经营性</v>
      </c>
      <c r="C7" s="1898" t="s">
        <v>1343</v>
      </c>
      <c r="D7" s="965">
        <f>SUMIF(项目基本情况!D$12:I$12,C7,项目基本情况!D$14:I$14)</f>
        <v>40</v>
      </c>
      <c r="E7" s="964">
        <f>IF(B7="","",SUMIF(项目基本情况!D$12:I$12,C7,项目基本情况!D$13:I$13))</f>
        <v>55892</v>
      </c>
      <c r="F7" s="68">
        <f>SUMIF(项目基本情况!D$12:I$12,C7,项目基本情况!D$15:I$15)</f>
        <v>31.09</v>
      </c>
      <c r="G7" s="69">
        <f t="shared" ref="G7:G11" si="2">IF(ISERROR(ROUND(POWER(1+H7,D7-F7)*(POWER(1+H7,F7)-1)/(POWER(1+H7,D7)-1),3)),0,ROUND(POWER(1+H7,D7-F7)*(POWER(1+H7,F7)-1)/(POWER(1+H7,D7)-1),3))</f>
        <v>0.91</v>
      </c>
      <c r="H7" s="739">
        <v>0.05</v>
      </c>
      <c r="I7" s="739">
        <v>5.5E-2</v>
      </c>
      <c r="J7" s="70">
        <v>8.5000000000000006E-2</v>
      </c>
      <c r="K7" s="1159">
        <f>SUMIF('数据-汇总表'!C$19:C$33,A7,'数据-汇总表'!E$19:E$33)</f>
        <v>26717.69</v>
      </c>
      <c r="L7" s="740">
        <v>3000</v>
      </c>
      <c r="M7" s="71">
        <f t="shared" si="0"/>
        <v>8015</v>
      </c>
      <c r="N7" s="738">
        <f>N6</f>
        <v>0.85</v>
      </c>
      <c r="O7" s="71" t="str">
        <f t="shared" ref="O7:O14" si="3">IF($N$5="成新度","——",ROUND(M7*N7,0))</f>
        <v>——</v>
      </c>
      <c r="P7" s="72" t="str">
        <f t="shared" ref="P7:P14" si="4">IF($N$5="成新度","——",M7-O7)</f>
        <v>——</v>
      </c>
      <c r="Q7" s="741">
        <v>0.15</v>
      </c>
      <c r="R7" s="73">
        <f ca="1">SUMIF('数据-汇总表'!C$19:C$33,A7,'数据-汇总表'!R$19:R$27)</f>
        <v>16047.97</v>
      </c>
      <c r="S7" s="54">
        <f>IF('数据-汇总表'!$I$17="按面积比例",SUMIF('数据-汇总表'!C$19:C$33,A7,'数据-汇总表'!K$19:K$33),SUMIF('数据-汇总表'!C$19:C$33,A7,'数据-汇总表'!N$19:N$33))</f>
        <v>0</v>
      </c>
      <c r="T7" s="1332">
        <f t="shared" ref="T7:T13" si="5">ROUND($L$14*S7/10000,0)</f>
        <v>0</v>
      </c>
      <c r="U7" s="74"/>
      <c r="V7" s="75"/>
      <c r="W7" s="75"/>
      <c r="X7" s="1169"/>
      <c r="Y7" s="76">
        <f>Y6</f>
        <v>0.85</v>
      </c>
      <c r="Z7" s="77"/>
      <c r="AA7" s="70"/>
      <c r="AB7" s="70"/>
      <c r="AC7" s="1169"/>
      <c r="AD7" s="78"/>
      <c r="AE7" s="1170">
        <f t="shared" ref="AE7:AE13" ca="1" si="6">IF(AN7="",0,SUMIF(INDIRECT("'"&amp;AN7&amp;"'"&amp;"!E:E"),$AE$5,INDIRECT("'"&amp;AN7&amp;"'"&amp;"!F:F")))</f>
        <v>0</v>
      </c>
      <c r="AF7" s="1530"/>
      <c r="AG7" s="142">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hidden="1">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2">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hidden="1">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2">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hidden="1">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2">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hidden="1">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2">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hidden="1">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2">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hidden="1">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2">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hidden="1">
      <c r="A14" s="1901" t="s">
        <v>1891</v>
      </c>
      <c r="B14" s="1897" t="s">
        <v>1892</v>
      </c>
      <c r="C14" s="1902"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2"/>
      <c r="AH14" s="1170"/>
      <c r="AI14" s="1539"/>
      <c r="AJ14" s="711"/>
      <c r="AK14" s="1171"/>
      <c r="AL14" s="1172"/>
      <c r="AM14" s="1173"/>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2"/>
      <c r="AH15" s="1170"/>
      <c r="AI15" s="1539"/>
      <c r="AJ15" s="711"/>
      <c r="AK15" s="1171"/>
      <c r="AL15" s="1172"/>
      <c r="AM15" s="1173"/>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0"/>
      <c r="D16" s="1904"/>
      <c r="E16" s="93"/>
      <c r="F16" s="93"/>
      <c r="G16" s="94">
        <f>ROUND(SUMPRODUCT(G6:G13,K6:K13)/SUMPRODUCT((G6:G13&gt;0)*(K6:K13)),3)</f>
        <v>0.91</v>
      </c>
      <c r="H16" s="95">
        <f>ROUND(SUMPRODUCT(H6:H13,K6:K13)/SUMPRODUCT((H6:H13&gt;0)*(K6:K13)),3)</f>
        <v>0.05</v>
      </c>
      <c r="I16" s="96"/>
      <c r="J16" s="96"/>
      <c r="K16" s="97">
        <f>SUM(K6:K15)</f>
        <v>27173.91</v>
      </c>
      <c r="L16" s="98">
        <f>ROUND(M16*10000/SUM(K6:K14),0)</f>
        <v>3000</v>
      </c>
      <c r="M16" s="98">
        <f>SUM(M6:M14)</f>
        <v>8152</v>
      </c>
      <c r="N16" s="99">
        <f>ROUND(SUMPRODUCT(M6:M14,N6:N14)/M16,3)</f>
        <v>0.85</v>
      </c>
      <c r="O16" s="98">
        <f>SUM(O6:O14)</f>
        <v>0</v>
      </c>
      <c r="P16" s="98">
        <f>SUM(P6:P14)</f>
        <v>0</v>
      </c>
      <c r="Q16" s="100">
        <f>ROUND(SUMPRODUCT(Q6:Q13,K6:K13)/SUMPRODUCT((Q6:Q13&gt;0)*(K6:K13)),2)</f>
        <v>0.15</v>
      </c>
      <c r="R16" s="1163">
        <f ca="1">SUM(R6:R13)</f>
        <v>16322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3042</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1.5</v>
      </c>
      <c r="C20" s="3029" t="s">
        <v>3040</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1.5</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1.5</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1.5</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v>105</v>
      </c>
      <c r="C27" s="3030" t="s">
        <v>3044</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1907</v>
      </c>
      <c r="B28" s="115">
        <v>105</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1908</v>
      </c>
      <c r="B29" s="117">
        <f>ROUND(K16*B28/10000,0)</f>
        <v>285</v>
      </c>
      <c r="C29" s="3031" t="s">
        <v>3031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1909</v>
      </c>
      <c r="B30" s="678">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1911</v>
      </c>
      <c r="B32" s="679">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1912</v>
      </c>
      <c r="B33" s="680">
        <v>0.05</v>
      </c>
      <c r="C33" s="3032" t="s">
        <v>3032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1913</v>
      </c>
      <c r="B34" s="118">
        <v>0</v>
      </c>
      <c r="C34" s="3032" t="s">
        <v>3033</v>
      </c>
      <c r="D34" s="2911" t="s">
        <v>3041</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1914</v>
      </c>
      <c r="B35" s="115">
        <v>200</v>
      </c>
      <c r="C35" s="3032" t="s">
        <v>3034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1915</v>
      </c>
      <c r="B36" s="119">
        <v>1.4999999999999999E-2</v>
      </c>
      <c r="C36" s="3032" t="s">
        <v>3035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3062">
        <v>2.5000000000000001E-2</v>
      </c>
      <c r="C37" s="3032" t="s">
        <v>3036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3064">
        <v>2.5000000000000001E-2</v>
      </c>
      <c r="C38" s="3032" t="s">
        <v>3036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3071</v>
      </c>
      <c r="B40" s="1208">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3">
        <v>7.0000000000000007E-2</v>
      </c>
      <c r="C44" s="3032" t="s">
        <v>3045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1">
        <v>0.03</v>
      </c>
      <c r="C45" s="3031" t="s">
        <v>3037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1">
        <v>0.02</v>
      </c>
      <c r="C46" s="3031" t="s">
        <v>3038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4"/>
      <c r="C47" s="3034" t="s">
        <v>3046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5">
        <v>0.03</v>
      </c>
      <c r="C48" s="3031" t="s">
        <v>3037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1">
        <v>5.0000000000000001E-4</v>
      </c>
      <c r="C49" s="3031" t="s">
        <v>3039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8">
        <f>SUMIF(A54:A63,B53,B54:B63)</f>
        <v>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523</v>
      </c>
      <c r="C53" s="2886" t="s">
        <v>1932</v>
      </c>
      <c r="D53" s="3033" t="s">
        <v>3043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v>16</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10</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v>8</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v>6</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v>4</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v>3</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2" sqref="J12"/>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56" t="s">
        <v>3023</v>
      </c>
      <c r="B1" s="3157"/>
      <c r="C1" s="3157"/>
      <c r="D1" s="3157"/>
      <c r="E1" s="3157"/>
      <c r="F1" s="3157"/>
      <c r="G1" s="315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3020</v>
      </c>
      <c r="D2" s="2685"/>
      <c r="E2" s="2682"/>
      <c r="F2" s="2686"/>
      <c r="G2" s="2684" t="s">
        <v>3021</v>
      </c>
      <c r="H2" s="905"/>
      <c r="I2" s="905"/>
      <c r="J2" s="905"/>
      <c r="K2" s="905"/>
      <c r="L2" s="905"/>
      <c r="M2" s="905"/>
      <c r="N2" s="905"/>
      <c r="O2" s="905"/>
      <c r="P2" s="905"/>
      <c r="Q2" s="905"/>
      <c r="R2" s="905"/>
    </row>
    <row r="3" spans="1:29" ht="24">
      <c r="A3" s="2665" t="s">
        <v>3022</v>
      </c>
      <c r="B3" s="2687" t="s">
        <v>2998</v>
      </c>
      <c r="C3" s="2688"/>
      <c r="D3" s="2689"/>
      <c r="E3" s="2666" t="s">
        <v>3022</v>
      </c>
      <c r="F3" s="2690" t="s">
        <v>2999</v>
      </c>
      <c r="G3" s="2691"/>
      <c r="H3" s="905"/>
      <c r="I3" s="905"/>
      <c r="J3" s="905"/>
      <c r="K3" s="905"/>
      <c r="L3" s="905"/>
      <c r="M3" s="905"/>
      <c r="N3" s="905"/>
      <c r="O3" s="905"/>
      <c r="P3" s="905"/>
      <c r="Q3" s="905"/>
      <c r="R3" s="905"/>
    </row>
    <row r="4" spans="1:29">
      <c r="A4" s="2666"/>
      <c r="B4" s="328" t="s">
        <v>3000</v>
      </c>
      <c r="C4" s="2692"/>
      <c r="D4" s="2689"/>
      <c r="E4" s="2693"/>
      <c r="F4" s="1555" t="s">
        <v>3001</v>
      </c>
      <c r="G4" s="2694"/>
      <c r="H4" s="905"/>
      <c r="I4" s="905"/>
      <c r="J4" s="905"/>
      <c r="K4" s="905"/>
      <c r="L4" s="905"/>
      <c r="M4" s="905"/>
      <c r="N4" s="905"/>
      <c r="O4" s="905"/>
      <c r="P4" s="905"/>
      <c r="Q4" s="905"/>
      <c r="R4" s="905"/>
    </row>
    <row r="5" spans="1:29">
      <c r="A5" s="2666"/>
      <c r="B5" s="328" t="s">
        <v>3002</v>
      </c>
      <c r="C5" s="2692"/>
      <c r="D5" s="2689"/>
      <c r="E5" s="2693"/>
      <c r="F5" s="328" t="s">
        <v>3003</v>
      </c>
      <c r="G5" s="2694"/>
      <c r="H5" s="905"/>
      <c r="I5" s="905"/>
      <c r="J5" s="905"/>
      <c r="K5" s="905"/>
      <c r="L5" s="905"/>
      <c r="M5" s="905"/>
      <c r="N5" s="905"/>
      <c r="O5" s="905"/>
      <c r="P5" s="905"/>
      <c r="Q5" s="905"/>
      <c r="R5" s="905"/>
    </row>
    <row r="6" spans="1:29">
      <c r="A6" s="2666"/>
      <c r="B6" s="328" t="s">
        <v>3004</v>
      </c>
      <c r="C6" s="2694"/>
      <c r="D6" s="2689"/>
      <c r="E6" s="2693"/>
      <c r="F6" s="328" t="s">
        <v>3005</v>
      </c>
      <c r="G6" s="2694"/>
      <c r="H6" s="905"/>
      <c r="I6" s="905"/>
      <c r="J6" s="905"/>
      <c r="K6" s="905"/>
      <c r="L6" s="905"/>
      <c r="M6" s="905"/>
      <c r="N6" s="905"/>
      <c r="O6" s="905"/>
      <c r="P6" s="905"/>
      <c r="Q6" s="905"/>
      <c r="R6" s="905"/>
    </row>
    <row r="7" spans="1:29" ht="15" thickBot="1">
      <c r="A7" s="2666"/>
      <c r="B7" s="328" t="s">
        <v>3003</v>
      </c>
      <c r="C7" s="2694"/>
      <c r="D7" s="2695"/>
      <c r="E7" s="2696"/>
      <c r="F7" s="2697" t="s">
        <v>3006</v>
      </c>
      <c r="G7" s="2698"/>
      <c r="H7" s="905"/>
      <c r="I7" s="905"/>
      <c r="J7" s="905"/>
      <c r="K7" s="905"/>
      <c r="L7" s="905"/>
      <c r="M7" s="905"/>
      <c r="N7" s="905"/>
      <c r="O7" s="905"/>
      <c r="P7" s="905"/>
      <c r="Q7" s="905"/>
      <c r="R7" s="905"/>
    </row>
    <row r="8" spans="1:29">
      <c r="A8" s="2666"/>
      <c r="B8" s="328" t="s">
        <v>3005</v>
      </c>
      <c r="C8" s="2694"/>
      <c r="D8" s="2695"/>
      <c r="E8" s="2695"/>
      <c r="F8" s="2699"/>
      <c r="G8" s="2699"/>
      <c r="H8" s="905"/>
      <c r="I8" s="905"/>
      <c r="J8" s="905"/>
      <c r="K8" s="905"/>
      <c r="L8" s="905"/>
      <c r="M8" s="905"/>
      <c r="N8" s="905"/>
      <c r="O8" s="905"/>
      <c r="P8" s="905"/>
      <c r="Q8" s="905"/>
      <c r="R8" s="905"/>
    </row>
    <row r="9" spans="1:29">
      <c r="A9" s="2666"/>
      <c r="B9" s="328" t="s">
        <v>3007</v>
      </c>
      <c r="C9" s="2692"/>
      <c r="D9" s="2689"/>
      <c r="E9" s="2695"/>
      <c r="F9" s="2699"/>
      <c r="G9" s="2699"/>
      <c r="H9" s="905"/>
      <c r="I9" s="905"/>
      <c r="J9" s="905"/>
      <c r="K9" s="905"/>
      <c r="L9" s="905"/>
      <c r="M9" s="905"/>
      <c r="N9" s="905"/>
      <c r="O9" s="905"/>
      <c r="P9" s="905"/>
      <c r="Q9" s="905"/>
      <c r="R9" s="905"/>
    </row>
    <row r="10" spans="1:29" s="2705" customFormat="1" ht="15" thickBot="1">
      <c r="A10" s="2667"/>
      <c r="B10" s="2700" t="s">
        <v>3008</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3024</v>
      </c>
      <c r="B13" s="2708"/>
      <c r="C13" s="2708"/>
      <c r="D13" s="2706"/>
      <c r="E13" s="2708"/>
      <c r="F13" s="2708"/>
      <c r="G13" s="2708"/>
    </row>
    <row r="14" spans="1:29" ht="15" thickBot="1">
      <c r="A14" s="2718"/>
      <c r="B14" s="2718"/>
      <c r="C14" s="2719" t="s">
        <v>3009</v>
      </c>
      <c r="D14" s="2689"/>
      <c r="E14" s="2720"/>
      <c r="F14" s="2720"/>
      <c r="G14" s="2684" t="s">
        <v>3010</v>
      </c>
    </row>
    <row r="15" spans="1:29" ht="24">
      <c r="A15" s="2668" t="s">
        <v>3011</v>
      </c>
      <c r="B15" s="2721" t="s">
        <v>2998</v>
      </c>
      <c r="C15" s="2722">
        <f>C3</f>
        <v>0</v>
      </c>
      <c r="D15" s="2689"/>
      <c r="E15" s="2669" t="s">
        <v>3012</v>
      </c>
      <c r="F15" s="2721" t="s">
        <v>3013</v>
      </c>
      <c r="G15" s="2723">
        <f>G3</f>
        <v>0</v>
      </c>
    </row>
    <row r="16" spans="1:29">
      <c r="A16" s="2670"/>
      <c r="B16" s="2724" t="s">
        <v>3000</v>
      </c>
      <c r="C16" s="2725">
        <f>C4</f>
        <v>0</v>
      </c>
      <c r="D16" s="2689"/>
      <c r="E16" s="2671"/>
      <c r="F16" s="2726" t="s">
        <v>3001</v>
      </c>
      <c r="G16" s="2727">
        <f>G4</f>
        <v>0</v>
      </c>
    </row>
    <row r="17" spans="1:18">
      <c r="A17" s="2670"/>
      <c r="B17" s="2724" t="s">
        <v>3002</v>
      </c>
      <c r="C17" s="2725">
        <f>C5</f>
        <v>0</v>
      </c>
      <c r="D17" s="2695"/>
      <c r="E17" s="2671"/>
      <c r="F17" s="2726" t="s">
        <v>3014</v>
      </c>
      <c r="G17" s="2728"/>
    </row>
    <row r="18" spans="1:18">
      <c r="A18" s="2670"/>
      <c r="B18" s="2726" t="s">
        <v>3004</v>
      </c>
      <c r="C18" s="2727">
        <f>C6</f>
        <v>0</v>
      </c>
      <c r="D18" s="2695"/>
      <c r="E18" s="2671"/>
      <c r="F18" s="2726" t="s">
        <v>3006</v>
      </c>
      <c r="G18" s="2727">
        <f>G7</f>
        <v>0</v>
      </c>
    </row>
    <row r="19" spans="1:18">
      <c r="A19" s="2670"/>
      <c r="B19" s="2726" t="s">
        <v>3015</v>
      </c>
      <c r="C19" s="2728"/>
      <c r="D19" s="2689"/>
      <c r="E19" s="2671"/>
      <c r="F19" s="328" t="s">
        <v>3003</v>
      </c>
      <c r="G19" s="2727">
        <f>G5</f>
        <v>0</v>
      </c>
    </row>
    <row r="20" spans="1:18">
      <c r="A20" s="2670"/>
      <c r="B20" s="2726" t="s">
        <v>3016</v>
      </c>
      <c r="C20" s="2725">
        <f>C9</f>
        <v>0</v>
      </c>
      <c r="D20" s="2695"/>
      <c r="E20" s="2671"/>
      <c r="F20" s="328" t="s">
        <v>3005</v>
      </c>
      <c r="G20" s="2727">
        <f>G6</f>
        <v>0</v>
      </c>
    </row>
    <row r="21" spans="1:18">
      <c r="A21" s="2670"/>
      <c r="B21" s="328" t="s">
        <v>3003</v>
      </c>
      <c r="C21" s="2727">
        <f>C7</f>
        <v>0</v>
      </c>
      <c r="D21" s="2689"/>
      <c r="E21" s="2671"/>
      <c r="F21" s="2726" t="s">
        <v>3017</v>
      </c>
      <c r="G21" s="2729"/>
    </row>
    <row r="22" spans="1:18" ht="13.5" customHeight="1">
      <c r="A22" s="2670"/>
      <c r="B22" s="328" t="s">
        <v>3005</v>
      </c>
      <c r="C22" s="2727">
        <f>C8</f>
        <v>0</v>
      </c>
      <c r="D22" s="2689"/>
      <c r="E22" s="2671"/>
      <c r="F22" s="2726" t="s">
        <v>3008</v>
      </c>
      <c r="G22" s="2728"/>
    </row>
    <row r="23" spans="1:18" s="905" customFormat="1" ht="15" thickBot="1">
      <c r="A23" s="2670"/>
      <c r="B23" s="2726" t="s">
        <v>3017</v>
      </c>
      <c r="C23" s="2729"/>
      <c r="D23" s="1925"/>
      <c r="E23" s="2672"/>
      <c r="F23" s="2730" t="s">
        <v>3018</v>
      </c>
      <c r="G23" s="2731"/>
      <c r="H23" s="2715"/>
      <c r="I23" s="2716"/>
      <c r="J23" s="2715"/>
      <c r="K23" s="2715"/>
      <c r="L23" s="2716"/>
      <c r="M23" s="2715"/>
      <c r="N23" s="2715"/>
      <c r="O23" s="2716"/>
      <c r="P23" s="2715"/>
      <c r="Q23" s="2715"/>
      <c r="R23" s="2717"/>
    </row>
    <row r="24" spans="1:18" s="905" customFormat="1" ht="15" thickBot="1">
      <c r="A24" s="2673"/>
      <c r="B24" s="2730" t="s">
        <v>3019</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5" sqref="H5"/>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27173.91</v>
      </c>
      <c r="C1" s="2913"/>
      <c r="D1" s="2913"/>
      <c r="E1" s="2913"/>
      <c r="F1" s="2913"/>
      <c r="G1" s="2914"/>
      <c r="H1" s="2915"/>
      <c r="I1" s="2915"/>
      <c r="J1" s="2915"/>
      <c r="K1" s="2915"/>
    </row>
    <row r="2" spans="1:11" ht="16.5">
      <c r="A2" s="2736" t="s">
        <v>1319</v>
      </c>
      <c r="B2" s="2736">
        <f>SUM(C14:C23)</f>
        <v>16322</v>
      </c>
      <c r="C2" s="2913"/>
      <c r="D2" s="2913"/>
      <c r="E2" s="2913"/>
      <c r="F2" s="2913"/>
      <c r="G2" s="2914"/>
      <c r="H2" s="2915"/>
      <c r="I2" s="2915"/>
      <c r="J2" s="2915"/>
      <c r="K2" s="2915"/>
    </row>
    <row r="3" spans="1:11" ht="16.5">
      <c r="A3" s="2736" t="s">
        <v>1328</v>
      </c>
      <c r="B3" s="2738">
        <f>项目基本情况!D3</f>
        <v>44544</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19623</v>
      </c>
      <c r="C5" s="2736">
        <f ca="1">ROUND(B5*10000/$B$1,0)</f>
        <v>7221</v>
      </c>
      <c r="D5" s="2736">
        <f ca="1">ROUND(B5*10000/$B$2,0)</f>
        <v>12022</v>
      </c>
      <c r="E5" s="2913"/>
      <c r="F5" s="2914"/>
      <c r="G5" s="2914"/>
      <c r="H5" s="2915"/>
      <c r="I5" s="2915"/>
      <c r="J5" s="2915"/>
      <c r="K5" s="2915"/>
    </row>
    <row r="6" spans="1:11" ht="16.5">
      <c r="A6" s="2736" t="s">
        <v>1322</v>
      </c>
      <c r="B6" s="2736">
        <f ca="1">SUM(G14:G23)</f>
        <v>19623</v>
      </c>
      <c r="C6" s="2736">
        <f ca="1">ROUND(B6*10000/$B$1,0)</f>
        <v>7221</v>
      </c>
      <c r="D6" s="2736">
        <f ca="1">ROUND(B6*10000/$B$2,0)</f>
        <v>12022</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典型户型修正!B22</f>
        <v>27173.91</v>
      </c>
      <c r="C14" s="2742">
        <f>'数据-汇总表'!D3</f>
        <v>16322</v>
      </c>
      <c r="D14" s="2742">
        <f ca="1">典型户型修正!B20</f>
        <v>19623</v>
      </c>
      <c r="E14" s="2742">
        <f ca="1">ROUND(D14*10000/B14,0)</f>
        <v>7221</v>
      </c>
      <c r="F14" s="2742">
        <f ca="1">ROUND(D14*10000/C14,0)</f>
        <v>12022</v>
      </c>
      <c r="G14" s="2742">
        <f ca="1">D14</f>
        <v>19623</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1948</v>
      </c>
      <c r="B1" s="1931"/>
      <c r="C1" s="1932" t="s">
        <v>3072</v>
      </c>
      <c r="D1" s="1931"/>
      <c r="E1" s="1931"/>
      <c r="F1" s="1933" t="s">
        <v>1949</v>
      </c>
      <c r="G1" s="1744" t="s">
        <v>3112</v>
      </c>
      <c r="H1" s="1934" t="str">
        <f>IF(G1="现房","——","估价对象范围")</f>
        <v>——</v>
      </c>
      <c r="I1" s="1935" t="s">
        <v>3113</v>
      </c>
    </row>
    <row r="2" spans="1:12" ht="21.75" customHeight="1" thickBot="1">
      <c r="A2" s="3228" t="str">
        <f>项目基本情况!S2</f>
        <v>房地产</v>
      </c>
      <c r="B2" s="3229"/>
      <c r="C2" s="3229"/>
      <c r="D2" s="3229"/>
      <c r="E2" s="3229"/>
      <c r="F2" s="3229"/>
      <c r="G2" s="3229"/>
      <c r="H2" s="3229"/>
      <c r="I2" s="3230"/>
    </row>
    <row r="3" spans="1:12" ht="12.75">
      <c r="A3" s="3232" t="s">
        <v>1950</v>
      </c>
      <c r="B3" s="3233"/>
      <c r="C3" s="3233"/>
      <c r="D3" s="3233"/>
      <c r="E3" s="3233"/>
      <c r="F3" s="3233"/>
      <c r="G3" s="3233"/>
      <c r="H3" s="3233"/>
      <c r="I3" s="3233"/>
    </row>
    <row r="4" spans="1:12" ht="14.25">
      <c r="A4" s="1938" t="s">
        <v>1951</v>
      </c>
      <c r="B4" s="1939" t="s">
        <v>1952</v>
      </c>
      <c r="C4" s="1940" t="s">
        <v>3114</v>
      </c>
      <c r="D4" s="1940" t="s">
        <v>3070</v>
      </c>
      <c r="E4" s="3237" t="s">
        <v>1953</v>
      </c>
      <c r="F4" s="3238"/>
      <c r="G4" s="3238"/>
      <c r="H4" s="3238"/>
      <c r="I4" s="3239"/>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73" t="s">
        <v>1954</v>
      </c>
      <c r="B5" s="3231">
        <v>25</v>
      </c>
      <c r="C5" s="3234"/>
      <c r="D5" s="3222"/>
      <c r="E5" s="135" t="s">
        <v>1955</v>
      </c>
      <c r="F5" s="1941"/>
      <c r="G5" s="1941"/>
      <c r="H5" s="1941"/>
      <c r="I5" s="1555"/>
    </row>
    <row r="6" spans="1:12" ht="12.75">
      <c r="A6" s="3173"/>
      <c r="B6" s="3231"/>
      <c r="C6" s="3236"/>
      <c r="D6" s="3222"/>
      <c r="E6" s="135" t="s">
        <v>1956</v>
      </c>
      <c r="F6" s="1941"/>
      <c r="G6" s="1941"/>
      <c r="H6" s="1941"/>
      <c r="I6" s="1555"/>
    </row>
    <row r="7" spans="1:12" ht="12.75">
      <c r="A7" s="3173"/>
      <c r="B7" s="3231"/>
      <c r="C7" s="3235"/>
      <c r="D7" s="3222"/>
      <c r="E7" s="135" t="s">
        <v>1957</v>
      </c>
      <c r="F7" s="1941"/>
      <c r="G7" s="1941"/>
      <c r="H7" s="1941"/>
      <c r="I7" s="1555"/>
    </row>
    <row r="8" spans="1:12" ht="12.75">
      <c r="A8" s="3173" t="s">
        <v>1958</v>
      </c>
      <c r="B8" s="3231">
        <v>15</v>
      </c>
      <c r="C8" s="3234"/>
      <c r="D8" s="3222"/>
      <c r="E8" s="135" t="s">
        <v>1959</v>
      </c>
      <c r="F8" s="1941"/>
      <c r="G8" s="1941"/>
      <c r="H8" s="1941"/>
      <c r="I8" s="1555"/>
    </row>
    <row r="9" spans="1:12" ht="12.75">
      <c r="A9" s="3173"/>
      <c r="B9" s="3231"/>
      <c r="C9" s="3235"/>
      <c r="D9" s="3222"/>
      <c r="E9" s="135" t="s">
        <v>1960</v>
      </c>
      <c r="F9" s="1941"/>
      <c r="G9" s="1941"/>
      <c r="H9" s="1941"/>
      <c r="I9" s="1555"/>
    </row>
    <row r="10" spans="1:12" ht="12.75">
      <c r="A10" s="3173" t="s">
        <v>1961</v>
      </c>
      <c r="B10" s="3231">
        <v>15</v>
      </c>
      <c r="C10" s="3234"/>
      <c r="D10" s="3222"/>
      <c r="E10" s="135" t="s">
        <v>1962</v>
      </c>
      <c r="F10" s="1941"/>
      <c r="G10" s="1941"/>
      <c r="H10" s="1941"/>
      <c r="I10" s="1555"/>
    </row>
    <row r="11" spans="1:12" ht="12.75">
      <c r="A11" s="3173"/>
      <c r="B11" s="3231"/>
      <c r="C11" s="3235"/>
      <c r="D11" s="3222"/>
      <c r="E11" s="135" t="s">
        <v>1963</v>
      </c>
      <c r="F11" s="1941"/>
      <c r="G11" s="1941"/>
      <c r="H11" s="1941"/>
      <c r="I11" s="1555"/>
    </row>
    <row r="12" spans="1:12" ht="12.75">
      <c r="A12" s="3173" t="s">
        <v>1964</v>
      </c>
      <c r="B12" s="3231">
        <v>15</v>
      </c>
      <c r="C12" s="3234"/>
      <c r="D12" s="3222"/>
      <c r="E12" s="135" t="s">
        <v>1965</v>
      </c>
      <c r="F12" s="1941"/>
      <c r="G12" s="1941"/>
      <c r="H12" s="1941"/>
      <c r="I12" s="1555"/>
    </row>
    <row r="13" spans="1:12" ht="12.75">
      <c r="A13" s="3173"/>
      <c r="B13" s="3231"/>
      <c r="C13" s="3235"/>
      <c r="D13" s="3222"/>
      <c r="E13" s="135" t="s">
        <v>1966</v>
      </c>
      <c r="F13" s="1941"/>
      <c r="G13" s="1941"/>
      <c r="H13" s="1941"/>
      <c r="I13" s="1555"/>
    </row>
    <row r="14" spans="1:12" ht="12.75">
      <c r="A14" s="3173" t="s">
        <v>1967</v>
      </c>
      <c r="B14" s="3231">
        <v>30</v>
      </c>
      <c r="C14" s="3234">
        <v>8</v>
      </c>
      <c r="D14" s="3222">
        <v>2</v>
      </c>
      <c r="E14" s="135" t="s">
        <v>1968</v>
      </c>
      <c r="F14" s="1941"/>
      <c r="G14" s="1941"/>
      <c r="H14" s="1941"/>
      <c r="I14" s="1555"/>
    </row>
    <row r="15" spans="1:12" ht="12.75">
      <c r="A15" s="3173"/>
      <c r="B15" s="3231"/>
      <c r="C15" s="3236"/>
      <c r="D15" s="3222"/>
      <c r="E15" s="135" t="s">
        <v>1969</v>
      </c>
      <c r="F15" s="1941"/>
      <c r="G15" s="1941"/>
      <c r="H15" s="1941"/>
      <c r="I15" s="1555"/>
    </row>
    <row r="16" spans="1:12" ht="12.75">
      <c r="A16" s="3173"/>
      <c r="B16" s="3231"/>
      <c r="C16" s="3235"/>
      <c r="D16" s="3222"/>
      <c r="E16" s="135" t="s">
        <v>1970</v>
      </c>
      <c r="F16" s="1941"/>
      <c r="G16" s="1941"/>
      <c r="H16" s="1941"/>
      <c r="I16" s="1555"/>
    </row>
    <row r="17" spans="1:36" ht="15">
      <c r="A17" s="1942" t="s">
        <v>1971</v>
      </c>
      <c r="B17" s="60"/>
      <c r="C17" s="136">
        <f>SUM(C5:C16)</f>
        <v>8</v>
      </c>
      <c r="D17" s="136">
        <f>SUM(D5:D16)</f>
        <v>2</v>
      </c>
      <c r="E17" s="133"/>
      <c r="F17" s="133"/>
      <c r="G17" s="133"/>
      <c r="H17" s="133"/>
      <c r="I17" s="133"/>
      <c r="K17" s="307"/>
      <c r="L17" s="307" t="s">
        <v>1972</v>
      </c>
      <c r="M17" s="307" t="s">
        <v>1973</v>
      </c>
    </row>
    <row r="18" spans="1:36" ht="31.9" customHeight="1" thickBot="1">
      <c r="A18" s="1943" t="s">
        <v>1974</v>
      </c>
      <c r="B18" s="1944"/>
      <c r="C18" s="137">
        <f>ROUND(C17/SUM(C17:D17),2)</f>
        <v>0.8</v>
      </c>
      <c r="D18" s="137">
        <f>1-C18</f>
        <v>0.19999999999999996</v>
      </c>
      <c r="E18" s="3253" t="s">
        <v>2873</v>
      </c>
      <c r="F18" s="3254"/>
      <c r="G18" s="3254"/>
      <c r="H18" s="3254"/>
      <c r="I18" s="3254"/>
      <c r="K18" s="307" t="s">
        <v>1975</v>
      </c>
      <c r="L18" s="307">
        <f>IF(C1="",'数据-汇总表'!E3,SUMIF(项目类型,C1,'数据-汇总表'!E17:E26)+SUMIF(项目类型,C1,'数据-汇总表'!I17:I26))</f>
        <v>456.22</v>
      </c>
      <c r="M18" s="307">
        <f>IF(C1="",'数据-汇总表'!E3,SUMIF(项目类型,C1,'数据-汇总表'!E17:E26))</f>
        <v>456.22</v>
      </c>
    </row>
    <row r="19" spans="1:36" ht="15">
      <c r="A19" s="1945" t="s">
        <v>1976</v>
      </c>
      <c r="B19" s="1946" t="s">
        <v>1977</v>
      </c>
      <c r="C19" s="138">
        <f ca="1">SUMIF(INDIRECT("'"&amp;C4&amp;"'"&amp;"!A:A"),结果表!B19,INDIRECT("'"&amp;C4&amp;"'"&amp;"!B:B"))</f>
        <v>541</v>
      </c>
      <c r="D19" s="139">
        <f ca="1">SUMIF(INDIRECT("'"&amp;D4&amp;"'"&amp;"!A:A"),结果表!B19,INDIRECT("'"&amp;D4&amp;"'"&amp;"!B:B"))</f>
        <v>232</v>
      </c>
      <c r="E19" s="1945" t="s">
        <v>1978</v>
      </c>
      <c r="F19" s="1946" t="s">
        <v>1977</v>
      </c>
      <c r="G19" s="140">
        <f ca="1">ROUND(C19*$C$18+D19*$D$18,0)</f>
        <v>479</v>
      </c>
      <c r="H19" s="1947" t="s">
        <v>1979</v>
      </c>
      <c r="I19" s="133"/>
      <c r="K19" s="307" t="s">
        <v>1980</v>
      </c>
      <c r="L19" s="307">
        <f>IF(C1="",'数据-汇总表'!D3,SUMIF(项目类型,C1,'数据-汇总表'!D17:D26)+SUMIF(项目类型,C1,'数据-汇总表'!H17:H27))</f>
        <v>274.02999999999997</v>
      </c>
      <c r="M19" s="307">
        <f>IF(C1="",'数据-汇总表'!D3,SUMIF(项目类型,C1,'数据-汇总表'!D17:D26))</f>
        <v>274.02999999999997</v>
      </c>
    </row>
    <row r="20" spans="1:36" ht="15">
      <c r="A20" s="1948"/>
      <c r="B20" s="1155" t="s">
        <v>1981</v>
      </c>
      <c r="C20" s="141">
        <f ca="1">SUMIF(INDIRECT("'"&amp;C4&amp;"'"&amp;"!A:A"),结果表!B20,INDIRECT("'"&amp;C4&amp;"'"&amp;"!B:B"))</f>
        <v>11862</v>
      </c>
      <c r="D20" s="142">
        <f ca="1">SUMIF(INDIRECT("'"&amp;D4&amp;"'"&amp;"!A:A"),结果表!B20,INDIRECT("'"&amp;D4&amp;"'"&amp;"!B:B"))</f>
        <v>5084</v>
      </c>
      <c r="E20" s="1948"/>
      <c r="F20" s="1155" t="s">
        <v>1981</v>
      </c>
      <c r="G20" s="143">
        <f ca="1">ROUND(C20*$C$18+D20*$D$18,0)</f>
        <v>10506</v>
      </c>
      <c r="H20" s="915" t="s">
        <v>1982</v>
      </c>
      <c r="I20" s="133"/>
    </row>
    <row r="21" spans="1:36" ht="15" customHeight="1" thickBot="1">
      <c r="A21" s="935"/>
      <c r="B21" s="1949" t="s">
        <v>1983</v>
      </c>
      <c r="C21" s="726">
        <f ca="1">ROUND(C19*10000/L19,0)</f>
        <v>19742</v>
      </c>
      <c r="D21" s="727">
        <f ca="1">ROUND(D19*10000/L19,0)</f>
        <v>8466</v>
      </c>
      <c r="E21" s="935"/>
      <c r="F21" s="1949" t="s">
        <v>1983</v>
      </c>
      <c r="G21" s="144">
        <f ca="1">ROUND(G19*10000/L19,0)</f>
        <v>17480</v>
      </c>
      <c r="H21" s="1950" t="s">
        <v>1982</v>
      </c>
      <c r="I21" s="133"/>
    </row>
    <row r="22" spans="1:36" ht="15" thickBot="1">
      <c r="A22" s="1872" t="s">
        <v>1984</v>
      </c>
      <c r="B22" s="1951"/>
      <c r="C22" s="1952"/>
      <c r="D22" s="728">
        <f ca="1">IF(C19&lt;D19,D19/C19-1,C19/D19-1)</f>
        <v>1.3318965517241379</v>
      </c>
      <c r="E22" s="133"/>
      <c r="F22" s="133"/>
      <c r="G22" s="133"/>
      <c r="H22" s="133"/>
      <c r="I22" s="133"/>
    </row>
    <row r="23" spans="1:36" ht="13.5" thickBot="1">
      <c r="A23" s="1931"/>
      <c r="B23" s="1931"/>
      <c r="C23" s="1931"/>
      <c r="D23" s="1931"/>
      <c r="E23" s="133"/>
      <c r="F23" s="133"/>
      <c r="G23" s="133"/>
      <c r="H23" s="133"/>
      <c r="I23" s="133"/>
    </row>
    <row r="24" spans="1:36" ht="14.25">
      <c r="A24" s="3246" t="s">
        <v>1985</v>
      </c>
      <c r="B24" s="1946" t="s">
        <v>1977</v>
      </c>
      <c r="C24" s="140">
        <f>IF(B30=0,0,D30)</f>
        <v>0</v>
      </c>
      <c r="D24" s="1953"/>
      <c r="E24" s="133"/>
      <c r="F24" s="133"/>
      <c r="G24" s="133"/>
      <c r="H24" s="133"/>
      <c r="I24" s="133"/>
    </row>
    <row r="25" spans="1:36" ht="14.25">
      <c r="A25" s="3247"/>
      <c r="B25" s="1155"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2874</v>
      </c>
      <c r="F30" s="133"/>
      <c r="G30" s="133"/>
      <c r="H30" s="133"/>
      <c r="I30" s="133"/>
    </row>
    <row r="31" spans="1:36" s="2525" customFormat="1" ht="26.45" customHeight="1" thickTop="1" thickBot="1">
      <c r="A31" s="2520"/>
      <c r="B31" s="2521"/>
      <c r="C31" s="2521"/>
      <c r="D31" s="2521"/>
      <c r="E31" s="2521"/>
      <c r="F31" s="2521"/>
      <c r="G31" s="2521"/>
      <c r="H31" s="2521"/>
      <c r="I31" s="2522" t="s">
        <v>2875</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10506</v>
      </c>
      <c r="D32" s="1959"/>
      <c r="E32" s="133"/>
      <c r="F32" s="133"/>
      <c r="G32" s="133"/>
      <c r="H32" s="133"/>
      <c r="I32" s="133"/>
    </row>
    <row r="33" spans="1:15" ht="15">
      <c r="A33" s="892" t="s">
        <v>1992</v>
      </c>
      <c r="B33" s="1960"/>
      <c r="C33" s="1961"/>
      <c r="D33" s="1962"/>
      <c r="E33" s="1963" t="s">
        <v>1993</v>
      </c>
      <c r="F33" s="1964" t="str">
        <f>IF(D32="楼面单价","取值（单价）","取值（总价）")</f>
        <v>取值（总价）</v>
      </c>
      <c r="G33" s="133"/>
      <c r="H33" s="133"/>
      <c r="I33" s="133"/>
    </row>
    <row r="34" spans="1:15" ht="15">
      <c r="A34" s="1965"/>
      <c r="B34" s="1966"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7" t="s">
        <v>1995</v>
      </c>
      <c r="F34" s="1496"/>
      <c r="G34" s="133"/>
      <c r="H34" s="133"/>
      <c r="I34" s="133"/>
    </row>
    <row r="35" spans="1:15" ht="15.75" thickBot="1">
      <c r="A35" s="1968"/>
      <c r="B35" s="1969"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1997</v>
      </c>
      <c r="F35" s="158"/>
      <c r="G35" s="133"/>
      <c r="H35" s="133"/>
      <c r="I35" s="133"/>
    </row>
    <row r="36" spans="1:15" ht="15.75" thickBot="1">
      <c r="A36" s="3223" t="s">
        <v>1998</v>
      </c>
      <c r="B36" s="1971" t="s">
        <v>1999</v>
      </c>
      <c r="C36" s="149"/>
      <c r="D36" s="1972"/>
      <c r="E36" s="1973"/>
      <c r="F36" s="1974"/>
      <c r="G36" s="133"/>
      <c r="H36" s="133"/>
      <c r="I36" s="133"/>
    </row>
    <row r="37" spans="1:15" ht="15.75" thickBot="1">
      <c r="A37" s="3224"/>
      <c r="B37" s="1858" t="s">
        <v>2000</v>
      </c>
      <c r="C37" s="151"/>
      <c r="D37" s="1299"/>
      <c r="E37" s="1299"/>
      <c r="F37" s="1974"/>
      <c r="G37" s="133"/>
      <c r="H37" s="133"/>
      <c r="I37" s="133"/>
    </row>
    <row r="38" spans="1:15" ht="15.75" thickBot="1">
      <c r="A38" s="3225"/>
      <c r="B38" s="1975" t="s">
        <v>2001</v>
      </c>
      <c r="C38" s="681"/>
      <c r="D38" s="1976" t="s">
        <v>2002</v>
      </c>
      <c r="E38" s="1299"/>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43" t="s">
        <v>2012</v>
      </c>
      <c r="B45" s="3244"/>
      <c r="C45" s="3245"/>
      <c r="D45" s="159" t="e">
        <f ca="1">ROUND(H101*F45,0)</f>
        <v>#REF!</v>
      </c>
      <c r="E45" s="160" t="s">
        <v>2013</v>
      </c>
      <c r="F45" s="161">
        <v>1</v>
      </c>
      <c r="G45" s="162" t="s">
        <v>2014</v>
      </c>
      <c r="H45" s="133"/>
      <c r="I45" s="133"/>
      <c r="J45" s="3160" t="s">
        <v>2015</v>
      </c>
      <c r="K45" s="3160"/>
      <c r="L45" s="3160"/>
      <c r="M45" s="3160"/>
      <c r="N45" s="3160"/>
      <c r="O45" s="3160"/>
    </row>
    <row r="46" spans="1:15" ht="14.25" customHeight="1">
      <c r="A46" s="3240" t="s">
        <v>2016</v>
      </c>
      <c r="B46" s="3241"/>
      <c r="C46" s="3241"/>
      <c r="D46" s="3241"/>
      <c r="E46" s="3241"/>
      <c r="F46" s="3241"/>
      <c r="G46" s="3242"/>
      <c r="H46" s="1990"/>
      <c r="I46" s="163"/>
      <c r="J46" s="2747">
        <v>1</v>
      </c>
      <c r="K46" s="3161" t="s">
        <v>2017</v>
      </c>
      <c r="L46" s="3161"/>
      <c r="M46" s="3162"/>
      <c r="N46" s="3162"/>
      <c r="O46" s="3162"/>
    </row>
    <row r="47" spans="1:15" ht="12" customHeight="1">
      <c r="A47" s="164" t="s">
        <v>2018</v>
      </c>
      <c r="B47" s="165"/>
      <c r="C47" s="166"/>
      <c r="D47" s="1245" t="s">
        <v>2019</v>
      </c>
      <c r="E47" s="307" t="s">
        <v>2020</v>
      </c>
      <c r="F47" s="167" t="s">
        <v>2021</v>
      </c>
      <c r="G47" s="2770" t="s">
        <v>2022</v>
      </c>
      <c r="H47" s="2771"/>
      <c r="I47" s="163"/>
      <c r="J47" s="2747">
        <v>2</v>
      </c>
      <c r="K47" s="3161" t="s">
        <v>2023</v>
      </c>
      <c r="L47" s="3161"/>
      <c r="M47" s="3163">
        <f>'数据-取费表'!B2</f>
        <v>44544</v>
      </c>
      <c r="N47" s="3163"/>
      <c r="O47" s="3163"/>
    </row>
    <row r="48" spans="1:15" ht="25.5">
      <c r="A48" s="3226" t="s">
        <v>2024</v>
      </c>
      <c r="B48" s="3227"/>
      <c r="C48" s="3227"/>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61" t="s">
        <v>2026</v>
      </c>
      <c r="L48" s="3161"/>
      <c r="M48" s="3164" t="e">
        <f ca="1">H101</f>
        <v>#REF!</v>
      </c>
      <c r="N48" s="3164"/>
      <c r="O48" s="3164"/>
    </row>
    <row r="49" spans="1:35" ht="25.5" customHeight="1">
      <c r="A49" s="2554" t="s">
        <v>2027</v>
      </c>
      <c r="B49" s="3209" t="s">
        <v>2028</v>
      </c>
      <c r="C49" s="3209"/>
      <c r="D49" s="1773">
        <v>0</v>
      </c>
      <c r="E49" s="329" t="s">
        <v>2029</v>
      </c>
      <c r="F49" s="2648" t="s">
        <v>34</v>
      </c>
      <c r="G49" s="3192"/>
      <c r="H49" s="2526" t="s">
        <v>2876</v>
      </c>
      <c r="I49" s="2527"/>
      <c r="J49" s="2747">
        <v>4</v>
      </c>
      <c r="K49" s="3161" t="str">
        <f>IF(项目基本情况!E8="房地产抵押价值","房地产抵押价值","抵押担保权已注销时的房地产抵押价值")</f>
        <v>房地产抵押价值</v>
      </c>
      <c r="L49" s="3161"/>
      <c r="M49" s="3164" t="e">
        <f ca="1">IF(项目基本情况!E8="房地产抵押价值",H107,H109)</f>
        <v>#REF!</v>
      </c>
      <c r="N49" s="3164"/>
      <c r="O49" s="3164"/>
    </row>
    <row r="50" spans="1:35" ht="25.5" customHeight="1">
      <c r="A50" s="2775"/>
      <c r="B50" s="3209" t="s">
        <v>2030</v>
      </c>
      <c r="C50" s="3209"/>
      <c r="D50" s="2776"/>
      <c r="E50" s="337"/>
      <c r="F50" s="2648"/>
      <c r="G50" s="3193"/>
      <c r="H50" s="2528" t="s">
        <v>2877</v>
      </c>
      <c r="I50" s="2527"/>
      <c r="J50" s="3160" t="s">
        <v>2031</v>
      </c>
      <c r="K50" s="3160"/>
      <c r="L50" s="3160"/>
      <c r="M50" s="3160"/>
      <c r="N50" s="3160"/>
      <c r="O50" s="3160"/>
    </row>
    <row r="51" spans="1:35" ht="20.45" customHeight="1">
      <c r="A51" s="2777"/>
      <c r="B51" s="3209" t="s">
        <v>2032</v>
      </c>
      <c r="C51" s="3209"/>
      <c r="D51" s="1245"/>
      <c r="E51" s="332"/>
      <c r="F51" s="2648"/>
      <c r="G51" s="3194"/>
      <c r="H51" s="2528" t="s">
        <v>2878</v>
      </c>
      <c r="I51" s="2527"/>
      <c r="J51" s="2748" t="s">
        <v>2033</v>
      </c>
      <c r="K51" s="3161" t="s">
        <v>2034</v>
      </c>
      <c r="L51" s="3161"/>
      <c r="M51" s="2748" t="s">
        <v>2035</v>
      </c>
      <c r="N51" s="2748" t="s">
        <v>2036</v>
      </c>
      <c r="O51" s="2748" t="s">
        <v>2037</v>
      </c>
    </row>
    <row r="52" spans="1:35" ht="24" customHeight="1">
      <c r="A52" s="2556" t="s">
        <v>2038</v>
      </c>
      <c r="B52" s="3209" t="s">
        <v>2039</v>
      </c>
      <c r="C52" s="3209"/>
      <c r="D52" s="1245" t="e">
        <f ca="1">ROUND(D45*'数据-取费表'!B41/(1+'数据-取费表'!C42),0)</f>
        <v>#REF!</v>
      </c>
      <c r="E52" s="2555" t="s">
        <v>2040</v>
      </c>
      <c r="F52" s="2778">
        <f>'数据-取费表'!B41</f>
        <v>5.6000000000000001E-2</v>
      </c>
      <c r="G52" s="2779"/>
      <c r="H52" s="2768"/>
      <c r="I52" s="1991"/>
      <c r="J52" s="2747">
        <v>1</v>
      </c>
      <c r="K52" s="3186" t="s">
        <v>2041</v>
      </c>
      <c r="L52" s="3186"/>
      <c r="M52" s="2749" t="b">
        <f>D48</f>
        <v>0</v>
      </c>
      <c r="N52" s="2747" t="str">
        <f>E48</f>
        <v>销售额×税（费）率</v>
      </c>
      <c r="O52" s="2750">
        <f>F48</f>
        <v>5.6000000000000001E-2</v>
      </c>
    </row>
    <row r="53" spans="1:35" ht="12" customHeight="1">
      <c r="A53" s="2556" t="s">
        <v>2042</v>
      </c>
      <c r="B53" s="3210" t="s">
        <v>3028</v>
      </c>
      <c r="C53" s="3211"/>
      <c r="D53" s="1245" t="e">
        <f ca="1">ROUND(D45*'数据-取费表'!B41/(1+'数据-取费表'!C42),0)</f>
        <v>#REF!</v>
      </c>
      <c r="E53" s="2555" t="s">
        <v>2040</v>
      </c>
      <c r="F53" s="2778">
        <f>'数据-取费表'!B41</f>
        <v>5.6000000000000001E-2</v>
      </c>
      <c r="G53" s="2779"/>
      <c r="H53" s="2768"/>
      <c r="I53" s="1991"/>
      <c r="J53" s="2747">
        <v>2</v>
      </c>
      <c r="K53" s="3186" t="s">
        <v>2043</v>
      </c>
      <c r="L53" s="3186"/>
      <c r="M53" s="2749" t="e">
        <f t="shared" ref="M53:O54" ca="1" si="0">D55</f>
        <v>#REF!</v>
      </c>
      <c r="N53" s="2747" t="str">
        <f t="shared" si="0"/>
        <v>销售额×税（费）率</v>
      </c>
      <c r="O53" s="2750" t="str">
        <f t="shared" si="0"/>
        <v>免征</v>
      </c>
    </row>
    <row r="54" spans="1:35" ht="12" customHeight="1">
      <c r="A54" s="2556" t="s">
        <v>2044</v>
      </c>
      <c r="B54" s="3210" t="s">
        <v>3029</v>
      </c>
      <c r="C54" s="3211"/>
      <c r="D54" s="1245" t="e">
        <f ca="1">C68</f>
        <v>#REF!</v>
      </c>
      <c r="E54" s="332" t="s">
        <v>2045</v>
      </c>
      <c r="F54" s="2778">
        <f>'数据-取费表'!B41</f>
        <v>5.6000000000000001E-2</v>
      </c>
      <c r="G54" s="2779"/>
      <c r="H54" s="2780"/>
      <c r="I54" s="1991"/>
      <c r="J54" s="2747">
        <v>3</v>
      </c>
      <c r="K54" s="3186" t="s">
        <v>2046</v>
      </c>
      <c r="L54" s="3186"/>
      <c r="M54" s="2749" t="e">
        <f t="shared" ca="1" si="0"/>
        <v>#REF!</v>
      </c>
      <c r="N54" s="2747" t="str">
        <f t="shared" si="0"/>
        <v>增值额×税（费）率</v>
      </c>
      <c r="O54" s="2751" t="str">
        <f t="shared" si="0"/>
        <v>免征</v>
      </c>
    </row>
    <row r="55" spans="1:35" ht="24" customHeight="1">
      <c r="A55" s="3249" t="s">
        <v>2047</v>
      </c>
      <c r="B55" s="3227"/>
      <c r="C55" s="3227"/>
      <c r="D55" s="2545" t="e">
        <f ca="1">IF(H55="个人住宅",0,ROUND(D45*I55,0))</f>
        <v>#REF!</v>
      </c>
      <c r="E55" s="2555" t="s">
        <v>2048</v>
      </c>
      <c r="F55" s="2778" t="str">
        <f>IF(H55="正常",I55,"免征")</f>
        <v>免征</v>
      </c>
      <c r="G55" s="2779"/>
      <c r="H55" s="2774"/>
      <c r="I55" s="169">
        <f>'数据-取费表'!B49</f>
        <v>5.0000000000000001E-4</v>
      </c>
      <c r="J55" s="2747">
        <f>IF(H59="非个人房产","",4)</f>
        <v>4</v>
      </c>
      <c r="K55" s="3186" t="str">
        <f>IF(H59="非个人房产","——","个人所得税")</f>
        <v>个人所得税</v>
      </c>
      <c r="L55" s="3186"/>
      <c r="M55" s="2752" t="e">
        <f ca="1">D59</f>
        <v>#REF!</v>
      </c>
      <c r="N55" s="2226" t="str">
        <f>E59</f>
        <v>差额计税</v>
      </c>
      <c r="O55" s="2753">
        <f>F59</f>
        <v>0.01</v>
      </c>
    </row>
    <row r="56" spans="1:35" ht="24.75">
      <c r="A56" s="3249" t="s">
        <v>2049</v>
      </c>
      <c r="B56" s="3227"/>
      <c r="C56" s="3227"/>
      <c r="D56" s="2545" t="e">
        <f ca="1">IF(H56="个人住宅",D57,D58)</f>
        <v>#REF!</v>
      </c>
      <c r="E56" s="2555" t="s">
        <v>2050</v>
      </c>
      <c r="F56" s="2778" t="str">
        <f>IF(H56="正常",F58,"免征")</f>
        <v>免征</v>
      </c>
      <c r="G56" s="2781" t="s">
        <v>2051</v>
      </c>
      <c r="H56" s="2782"/>
      <c r="I56" s="1992"/>
      <c r="J56" s="2747" t="str">
        <f>IF(项目基本情况!K6="上海银行",IF(J55="",4,J55+1),"")</f>
        <v/>
      </c>
      <c r="K56" s="3167" t="str">
        <f>IF(项目基本情况!K6="上海银行","其他处置费用","")</f>
        <v/>
      </c>
      <c r="L56" s="3168"/>
      <c r="M56" s="2749" t="str">
        <f>IF(项目基本情况!K6="上海银行",M69,"")</f>
        <v/>
      </c>
      <c r="N56" s="3167" t="str">
        <f>IF(项目基本情况!K6="上海银行","包含处置中涉及的律师、诉讼、拍卖、评估等费用","")</f>
        <v/>
      </c>
      <c r="O56" s="3170"/>
    </row>
    <row r="57" spans="1:35" ht="12.75">
      <c r="A57" s="2556" t="s">
        <v>2027</v>
      </c>
      <c r="B57" s="3210" t="s">
        <v>2052</v>
      </c>
      <c r="C57" s="3211"/>
      <c r="D57" s="1773">
        <v>0</v>
      </c>
      <c r="E57" s="329" t="s">
        <v>2029</v>
      </c>
      <c r="F57" s="307"/>
      <c r="G57" s="2779"/>
      <c r="H57" s="2783"/>
      <c r="I57" s="1992"/>
      <c r="J57" s="3186">
        <f>IF(AND(J55="",J56=""),4,IF(项目基本情况!K6="上海银行",结果表!J56+1,结果表!J55+1))</f>
        <v>5</v>
      </c>
      <c r="K57" s="3186" t="s">
        <v>2053</v>
      </c>
      <c r="L57" s="2754" t="s">
        <v>2054</v>
      </c>
      <c r="M57" s="2755"/>
      <c r="N57" s="2756">
        <f ca="1">SUMIF(M52:M56,"&lt;9e307")</f>
        <v>0</v>
      </c>
      <c r="O57" s="2757"/>
      <c r="P57" s="2917" t="e">
        <f ca="1">N57/M49</f>
        <v>#REF!</v>
      </c>
    </row>
    <row r="58" spans="1:35" ht="24.75">
      <c r="A58" s="2556" t="s">
        <v>2038</v>
      </c>
      <c r="B58" s="3210" t="s">
        <v>2055</v>
      </c>
      <c r="C58" s="3209"/>
      <c r="D58" s="2545" t="e">
        <f ca="1">IF(H58="转让取得",C81,C97)</f>
        <v>#REF!</v>
      </c>
      <c r="E58" s="2555" t="s">
        <v>2050</v>
      </c>
      <c r="F58" s="307" t="s">
        <v>34</v>
      </c>
      <c r="G58" s="2779"/>
      <c r="H58" s="2782"/>
      <c r="I58" s="1992"/>
      <c r="J58" s="3186"/>
      <c r="K58" s="3186"/>
      <c r="L58" s="2754" t="s">
        <v>2056</v>
      </c>
      <c r="M58" s="2758"/>
      <c r="N58" s="2759" t="str">
        <f ca="1">NUMBERSTRING(INT(N57*10000),2)&amp;"元整"</f>
        <v>零元整</v>
      </c>
      <c r="O58" s="2760"/>
    </row>
    <row r="59" spans="1:35" ht="24.75" thickBot="1">
      <c r="A59" s="3190" t="s">
        <v>2057</v>
      </c>
      <c r="B59" s="3191"/>
      <c r="C59" s="3191"/>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2879</v>
      </c>
      <c r="J59" s="3188">
        <f>J57+1</f>
        <v>6</v>
      </c>
      <c r="K59" s="3186" t="s">
        <v>2058</v>
      </c>
      <c r="L59" s="2747" t="s">
        <v>2054</v>
      </c>
      <c r="M59" s="2761"/>
      <c r="N59" s="2762" t="e">
        <f ca="1">M49-N57</f>
        <v>#REF!</v>
      </c>
      <c r="O59" s="2763"/>
    </row>
    <row r="60" spans="1:35" ht="12" customHeight="1">
      <c r="A60" s="1993"/>
      <c r="B60" s="1931"/>
      <c r="C60" s="1931"/>
      <c r="D60" s="1931"/>
      <c r="E60" s="1761"/>
      <c r="F60" s="1992"/>
      <c r="G60" s="1992"/>
      <c r="H60" s="1994"/>
      <c r="I60" s="133"/>
      <c r="J60" s="3189"/>
      <c r="K60" s="3186"/>
      <c r="L60" s="2754" t="s">
        <v>2056</v>
      </c>
      <c r="M60" s="2758"/>
      <c r="N60" s="2759" t="e">
        <f ca="1">NUMBERSTRING(INT(N59*10000),2)&amp;"元整"</f>
        <v>#REF!</v>
      </c>
      <c r="O60" s="2760"/>
    </row>
    <row r="61" spans="1:35" ht="13.5" thickBot="1">
      <c r="A61" s="3248" t="s">
        <v>2059</v>
      </c>
      <c r="B61" s="3248"/>
      <c r="C61" s="3248"/>
      <c r="D61" s="3248"/>
      <c r="E61" s="3248"/>
      <c r="F61" s="1992"/>
      <c r="G61" s="1992"/>
      <c r="H61" s="1994"/>
      <c r="I61" s="133"/>
      <c r="J61" s="2747">
        <f>J59+1</f>
        <v>7</v>
      </c>
      <c r="K61" s="3186" t="s">
        <v>2060</v>
      </c>
      <c r="L61" s="3186"/>
      <c r="M61" s="2764"/>
      <c r="N61" s="2765" t="e">
        <f ca="1">ROUND(N59*10000/'数据-汇总表'!E3,0)</f>
        <v>#REF!</v>
      </c>
      <c r="O61" s="2766"/>
    </row>
    <row r="62" spans="1:35" ht="12.75">
      <c r="A62" s="3205" t="s">
        <v>2061</v>
      </c>
      <c r="B62" s="3206"/>
      <c r="C62" s="2207"/>
      <c r="D62" s="2207" t="s">
        <v>2062</v>
      </c>
      <c r="E62" s="170" t="s">
        <v>2063</v>
      </c>
      <c r="F62" s="1992"/>
      <c r="G62" s="1992"/>
      <c r="H62" s="1994"/>
      <c r="I62" s="133"/>
    </row>
    <row r="63" spans="1:35" ht="12.75">
      <c r="A63" s="177" t="s">
        <v>775</v>
      </c>
      <c r="B63" s="171" t="s">
        <v>2064</v>
      </c>
      <c r="C63" s="2788" t="e">
        <f ca="1">ROUND((C64+C65)/(1+'数据-取费表'!C42),0)</f>
        <v>#REF!</v>
      </c>
      <c r="D63" s="171"/>
      <c r="E63" s="172"/>
      <c r="F63" s="1992"/>
      <c r="G63" s="1992"/>
      <c r="H63" s="1994"/>
      <c r="I63" s="133"/>
      <c r="J63" s="3169" t="s">
        <v>2065</v>
      </c>
      <c r="K63" s="1499" t="s">
        <v>2066</v>
      </c>
      <c r="L63" s="1499" t="e">
        <f ca="1">IF(M49&gt;10000,M49*0.5%,IF(AND(M49&gt;1000,M49&lt;=10000),M49*1%,IF(AND(M49&gt;100,M49&lt;=1000),M49*3%,IF(AND(M49&gt;10,M49&lt;=100),M49*5%,M49*8%))))</f>
        <v>#REF!</v>
      </c>
      <c r="M63" s="307" t="e">
        <f ca="1">ROUND(L63,1)</f>
        <v>#REF!</v>
      </c>
      <c r="N63" s="2767"/>
      <c r="Z63" s="1936"/>
      <c r="AI63" s="1937"/>
    </row>
    <row r="64" spans="1:35" ht="14.25" customHeight="1">
      <c r="A64" s="173" t="s">
        <v>770</v>
      </c>
      <c r="B64" s="174" t="s">
        <v>2067</v>
      </c>
      <c r="C64" s="2789" t="e">
        <f ca="1">D45</f>
        <v>#REF!</v>
      </c>
      <c r="D64" s="174" t="s">
        <v>32</v>
      </c>
      <c r="E64" s="176"/>
      <c r="F64" s="1992"/>
      <c r="G64" s="1992"/>
      <c r="H64" s="1994"/>
      <c r="I64" s="133"/>
      <c r="J64" s="3169"/>
      <c r="K64" s="1499" t="s">
        <v>2068</v>
      </c>
      <c r="L64" s="1499" t="e">
        <f ca="1">IF(M49&gt;2000,M49*0.5%,IF(AND(M49&gt;1000,M49&lt;=2000),M49*0.6%,IF(AND(M49&gt;500,M49&lt;=1000),M49*0.7%,IF(AND(M49&gt;200,M49&lt;=500),M49*0.8%,IF(AND(M49&gt;100,M49&lt;=200),M49*0.9%,IF(AND(M49&gt;50,M49&lt;=100),M49*1%,IF(AND(M49&gt;20,M49&lt;=50),M49*1.5%,IF(AND(M49&gt;10,M49&lt;=20),M49*2%,IF(AND(M49&gt;1,M49&lt;=10),M49*2.5%)))))))))</f>
        <v>#REF!</v>
      </c>
      <c r="M64" s="307" t="e">
        <f t="shared" ref="M64:M65" ca="1" si="1">ROUND(L64,1)</f>
        <v>#REF!</v>
      </c>
      <c r="N64" s="2768" t="s">
        <v>2069</v>
      </c>
      <c r="Z64" s="1936"/>
      <c r="AI64" s="1937"/>
    </row>
    <row r="65" spans="1:35" ht="14.25" customHeight="1">
      <c r="A65" s="173" t="s">
        <v>771</v>
      </c>
      <c r="B65" s="174" t="s">
        <v>2070</v>
      </c>
      <c r="C65" s="2790"/>
      <c r="D65" s="174"/>
      <c r="E65" s="176"/>
      <c r="F65" s="1992"/>
      <c r="G65" s="1992"/>
      <c r="H65" s="1994"/>
      <c r="I65" s="133"/>
      <c r="J65" s="3169"/>
      <c r="K65" s="1499" t="s">
        <v>2071</v>
      </c>
      <c r="L65" s="1499" t="e">
        <f ca="1">IF(M49&gt;1000,M49*0.1%,IF(AND(M49&gt;500,M49&lt;=1000),M49*0.5%,IF(AND(M49&gt;50,M49&lt;=500),M49*1%,IF(AND(M49&gt;1,M49&lt;=50),M49*1.5%))))</f>
        <v>#REF!</v>
      </c>
      <c r="M65" s="307" t="e">
        <f t="shared" ca="1" si="1"/>
        <v>#REF!</v>
      </c>
      <c r="N65" s="2768" t="s">
        <v>2069</v>
      </c>
      <c r="Z65" s="1936"/>
      <c r="AI65" s="1937"/>
    </row>
    <row r="66" spans="1:35" ht="14.25" customHeight="1">
      <c r="A66" s="177" t="s">
        <v>772</v>
      </c>
      <c r="B66" s="178" t="s">
        <v>2072</v>
      </c>
      <c r="C66" s="2791"/>
      <c r="D66" s="178" t="s">
        <v>32</v>
      </c>
      <c r="E66" s="1507" t="s">
        <v>1337</v>
      </c>
      <c r="F66" s="1992"/>
      <c r="G66" s="1992"/>
      <c r="H66" s="1994"/>
      <c r="I66" s="133"/>
      <c r="J66" s="3169"/>
      <c r="K66" s="1499" t="s">
        <v>2073</v>
      </c>
      <c r="L66" s="1499" t="e">
        <f ca="1">M49*0.5%</f>
        <v>#REF!</v>
      </c>
      <c r="M66" s="307" t="e">
        <f ca="1">IF(L66&gt;0.5,0.5,ROUND(L66,0))</f>
        <v>#REF!</v>
      </c>
      <c r="N66" s="2768" t="s">
        <v>2074</v>
      </c>
      <c r="Z66" s="1936"/>
      <c r="AI66" s="1937"/>
    </row>
    <row r="67" spans="1:35" ht="14.25" customHeight="1">
      <c r="A67" s="177" t="s">
        <v>773</v>
      </c>
      <c r="B67" s="178" t="s">
        <v>2075</v>
      </c>
      <c r="C67" s="2792" t="e">
        <f ca="1">C63-C66</f>
        <v>#REF!</v>
      </c>
      <c r="D67" s="174" t="s">
        <v>32</v>
      </c>
      <c r="E67" s="176"/>
      <c r="F67" s="1992"/>
      <c r="G67" s="1992"/>
      <c r="H67" s="1994"/>
      <c r="I67" s="133"/>
      <c r="J67" s="3169"/>
      <c r="K67" s="1499" t="s">
        <v>2076</v>
      </c>
      <c r="L67" s="1499" t="e">
        <f ca="1">IF(M49&gt;=10000,(8.25+(M49-10000)*0.01%),IF(AND(M49&gt;=8000,M49&lt;10000),(7.85+(M49-8000)*0.02%),IF(AND(M49&gt;=5000,M49&lt;8000),(6.65+(M49-5000)*0.04%),IF(AND(M49&gt;=2000,M49&lt;5000),(4.25+(PM49-2000)*0.08%),IF(AND(M49&gt;=1000,M49&lt;2000),(2.75+(M49-1000)*0.15%),IF(AND(M49&gt;=100,M49&lt;1000),(0.5+(M49-100)*0.25%),IF(AND(M49&gt;0,M49&lt;100),M49*0.5%)))))))</f>
        <v>#REF!</v>
      </c>
      <c r="M67" s="307" t="e">
        <f ca="1">ROUND(L67*0.9,1)</f>
        <v>#REF!</v>
      </c>
      <c r="N67" s="2767"/>
      <c r="Z67" s="1936"/>
      <c r="AI67" s="1937"/>
    </row>
    <row r="68" spans="1:35" ht="14.25" customHeight="1" thickBot="1">
      <c r="A68" s="180" t="s">
        <v>774</v>
      </c>
      <c r="B68" s="181" t="s">
        <v>2077</v>
      </c>
      <c r="C68" s="2793" t="e">
        <f ca="1">IF(C67&lt;=0,0,ROUND(C67*D68,0))</f>
        <v>#REF!</v>
      </c>
      <c r="D68" s="2794">
        <f>'数据-取费表'!B41</f>
        <v>5.6000000000000001E-2</v>
      </c>
      <c r="E68" s="183"/>
      <c r="F68" s="1992"/>
      <c r="G68" s="1992"/>
      <c r="H68" s="1994"/>
      <c r="I68" s="133"/>
      <c r="J68" s="3169"/>
      <c r="K68" s="1499" t="s">
        <v>2078</v>
      </c>
      <c r="L68" s="1499" t="e">
        <f ca="1">IF(M49&gt;10000,M49*0.5%,IF(AND(M49&gt;5000,M49&lt;=10000),M49*1%,IF(AND(M49&gt;1000,M49&lt;=5000),M49*2%,IF(AND(M49&gt;200,M49&lt;=1000),M49*3%,M49*5%))))</f>
        <v>#REF!</v>
      </c>
      <c r="M68" s="307" t="e">
        <f ca="1">ROUND(L68,1)</f>
        <v>#REF!</v>
      </c>
      <c r="N68" s="2767"/>
      <c r="Z68" s="1936"/>
      <c r="AI68" s="1937"/>
    </row>
    <row r="69" spans="1:35" s="1956" customFormat="1" ht="16.5" customHeight="1">
      <c r="A69" s="1995"/>
      <c r="B69" s="1996"/>
      <c r="C69" s="1997"/>
      <c r="D69" s="1998"/>
      <c r="E69" s="1999"/>
      <c r="F69" s="1761"/>
      <c r="G69" s="1761"/>
      <c r="H69" s="1760"/>
      <c r="I69" s="1931"/>
      <c r="J69" s="3169"/>
      <c r="K69" s="1499" t="s">
        <v>2079</v>
      </c>
      <c r="L69" s="1499"/>
      <c r="M69" s="307" t="e">
        <f ca="1">ROUND(SUM(M63:M68),0)</f>
        <v>#REF!</v>
      </c>
      <c r="N69" s="2769" t="e">
        <f ca="1">M69/M49</f>
        <v>#REF!</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13" t="s">
        <v>2080</v>
      </c>
      <c r="B70" s="3214"/>
      <c r="C70" s="3214"/>
      <c r="D70" s="3214"/>
      <c r="E70" s="3214"/>
      <c r="F70" s="3214"/>
      <c r="G70" s="3214"/>
      <c r="H70" s="3214"/>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5" t="s">
        <v>2061</v>
      </c>
      <c r="B71" s="3206"/>
      <c r="C71" s="2207"/>
      <c r="D71" s="2207" t="s">
        <v>2062</v>
      </c>
      <c r="E71" s="184" t="s">
        <v>2063</v>
      </c>
      <c r="F71" s="185"/>
      <c r="G71" s="185"/>
      <c r="H71" s="186"/>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2" t="e">
        <f ca="1">ROUND(D45/(1+'数据-取费表'!C42),0)</f>
        <v>#REF!</v>
      </c>
      <c r="D72" s="174" t="s">
        <v>32</v>
      </c>
      <c r="E72" s="2552"/>
      <c r="F72" s="2551"/>
      <c r="G72" s="2551"/>
      <c r="H72" s="187"/>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2" t="e">
        <f ca="1">C74+C78</f>
        <v>#REF!</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5"/>
      <c r="D75" s="174" t="s">
        <v>32</v>
      </c>
      <c r="E75" s="189" t="s">
        <v>2085</v>
      </c>
      <c r="F75" s="2796"/>
      <c r="G75" s="189"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8">
        <v>0.05</v>
      </c>
      <c r="E76" s="3210" t="s">
        <v>2088</v>
      </c>
      <c r="F76" s="3209"/>
      <c r="G76" s="3209"/>
      <c r="H76" s="321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9">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800" t="e">
        <f ca="1">ROUND(D45*D78/(1+'数据-取费表'!C42),0)</f>
        <v>#REF!</v>
      </c>
      <c r="D78" s="2801">
        <f>'数据-取费表'!B43</f>
        <v>6.000000000000001E-3</v>
      </c>
      <c r="E78" s="3202" t="s">
        <v>2092</v>
      </c>
      <c r="F78" s="3203"/>
      <c r="G78" s="3203"/>
      <c r="H78" s="320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2" t="e">
        <f ca="1">C72-C73</f>
        <v>#REF!</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2" t="e">
        <f ca="1">IF(C79&lt;=0,0,C79/C73)</f>
        <v>#REF!</v>
      </c>
      <c r="D80" s="174" t="s">
        <v>32</v>
      </c>
      <c r="E80" s="2545" t="e">
        <f ca="1">IF(C80&gt;=200%,"增值额超过扣除项目金额200%",IF(C80&gt;=100%,"增值额超过扣除项目金额100%，未超过200%",IF(C80&gt;=50%,"增值额超过扣除项目金额50%，未超过100%",IF(C80&lt;50%,"增值额未超过扣除项目金额50%"))))</f>
        <v>#REF!</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3" t="e">
        <f ca="1">ROUND(IF(C79&lt;=0,0,IF(C80&gt;=200%,C79*60%-C73*35%,IF(C80&gt;=100%,C79*50%-C73*15%,IF(C80&gt;=50%,C79*40%-C73*5%,IF(C80&lt;50%,C79*30%,0))))),0)</f>
        <v>#REF!</v>
      </c>
      <c r="D81" s="2804"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13" t="s">
        <v>2096</v>
      </c>
      <c r="B83" s="3214"/>
      <c r="C83" s="3214"/>
      <c r="D83" s="3214"/>
      <c r="E83" s="3214"/>
      <c r="F83" s="3214"/>
      <c r="G83" s="3214"/>
      <c r="H83" s="321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5" t="s">
        <v>2061</v>
      </c>
      <c r="B84" s="3206"/>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2" t="e">
        <f ca="1">ROUND(D45/(1+'数据-取费表'!C42),0)</f>
        <v>#REF!</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2" t="e">
        <f ca="1">IF(H88="仅含出让金",C87+C90+C91+C92+C93+C94,C87+C91+C92+C93+C94)</f>
        <v>#REF!</v>
      </c>
      <c r="D86" s="2805"/>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6"/>
      <c r="D88" s="2801"/>
      <c r="E88" s="198" t="s">
        <v>2099</v>
      </c>
      <c r="F88" s="2548"/>
      <c r="G88" s="199" t="s">
        <v>2100</v>
      </c>
      <c r="H88" s="2008"/>
      <c r="I88" s="2005"/>
      <c r="J88" s="2745" t="s">
        <v>3025</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800">
        <f>ROUND(C88*D89,0)</f>
        <v>0</v>
      </c>
      <c r="D89" s="2801">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6"/>
      <c r="D90" s="2801"/>
      <c r="E90" s="198" t="str">
        <f>IF(H88="-","土地取得成本中已包含该笔费用"," ")</f>
        <v xml:space="preserve"> </v>
      </c>
      <c r="F90" s="2548"/>
      <c r="G90" s="3171" t="s">
        <v>2871</v>
      </c>
      <c r="H90" s="3172"/>
      <c r="I90" s="2005"/>
      <c r="J90" s="2745" t="s">
        <v>3026</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800">
        <f>IF(H91="——",成本法!C33,I91)</f>
        <v>0</v>
      </c>
      <c r="D91" s="2801"/>
      <c r="E91" s="3202" t="s">
        <v>2105</v>
      </c>
      <c r="F91" s="3203"/>
      <c r="G91" s="320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800">
        <f>ROUND((C87+C90+C91)*D92,0)</f>
        <v>0</v>
      </c>
      <c r="D92" s="2807"/>
      <c r="E92" s="3202" t="s">
        <v>2108</v>
      </c>
      <c r="F92" s="3203"/>
      <c r="G92" s="3203"/>
      <c r="H92" s="3204"/>
      <c r="I92" s="2005"/>
      <c r="J92" s="2746" t="s">
        <v>3027</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800" t="e">
        <f ca="1">ROUND(D45*D93/(1+'数据-取费表'!C42),0)</f>
        <v>#REF!</v>
      </c>
      <c r="D93" s="2801">
        <f>'数据-取费表'!B43</f>
        <v>6.000000000000001E-3</v>
      </c>
      <c r="E93" s="3202" t="s">
        <v>2092</v>
      </c>
      <c r="F93" s="3203"/>
      <c r="G93" s="3203"/>
      <c r="H93" s="320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6">
        <f>ROUND((C87+C90+C91)*D94,0)</f>
        <v>0</v>
      </c>
      <c r="D94" s="2801">
        <v>0.2</v>
      </c>
      <c r="E94" s="3250" t="s">
        <v>2112</v>
      </c>
      <c r="F94" s="3251"/>
      <c r="G94" s="3251"/>
      <c r="H94" s="325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2" t="e">
        <f ca="1">ROUND(C85-C86,0)</f>
        <v>#REF!</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2" t="e">
        <f ca="1">IF(C95&lt;=0,0,C95/C86)</f>
        <v>#REF!</v>
      </c>
      <c r="D96" s="174" t="s">
        <v>32</v>
      </c>
      <c r="E96" s="2545" t="e">
        <f ca="1">IF(C96&gt;=200%,"增值额超过扣除项目金额200%",IF(C96&gt;=100%,"增值额超过扣除项目金额100%，未超过200%",IF(C96&gt;=50%,"增值额超过扣除项目金额50%，未超过100%",IF(C96&lt;50%,"增值额未超过扣除项目金额50%"))))</f>
        <v>#REF!</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3" t="e">
        <f ca="1">ROUND(IF(C95&lt;=0,0,IF(C96&gt;=200%,C95*60%-C86*35%,IF(C96&gt;=100%,C95*50%-C86*15%,IF(C96&gt;=50%,C95*40%-C86*5%,IF(C96&lt;50%,C95*30%,0))))),0)</f>
        <v>#REF!</v>
      </c>
      <c r="D97" s="2804"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152" t="s">
        <v>2114</v>
      </c>
      <c r="B100" s="3153"/>
      <c r="C100" s="3153"/>
      <c r="D100" s="3187"/>
      <c r="E100" s="3153" t="s">
        <v>2115</v>
      </c>
      <c r="F100" s="3153"/>
      <c r="G100" s="3153"/>
      <c r="H100" s="3187"/>
      <c r="I100" s="133"/>
    </row>
    <row r="101" spans="1:35" ht="18.75" customHeight="1">
      <c r="A101" s="3195" t="s">
        <v>2116</v>
      </c>
      <c r="B101" s="3196"/>
      <c r="C101" s="2809" t="str">
        <f>C4</f>
        <v>比较法-商业</v>
      </c>
      <c r="D101" s="2810" t="str">
        <f>D4</f>
        <v>收益法 (元)</v>
      </c>
      <c r="E101" s="3165" t="s">
        <v>2117</v>
      </c>
      <c r="F101" s="3166"/>
      <c r="G101" s="2011" t="s">
        <v>2118</v>
      </c>
      <c r="H101" s="2819" t="e">
        <f ca="1">H118</f>
        <v>#REF!</v>
      </c>
      <c r="I101" s="133"/>
    </row>
    <row r="102" spans="1:35" ht="18.75" customHeight="1">
      <c r="A102" s="3197" t="s">
        <v>2119</v>
      </c>
      <c r="B102" s="2808" t="s">
        <v>2118</v>
      </c>
      <c r="C102" s="2809">
        <f ca="1">C19</f>
        <v>541</v>
      </c>
      <c r="D102" s="2810">
        <f ca="1">D19</f>
        <v>232</v>
      </c>
      <c r="E102" s="3165"/>
      <c r="F102" s="3166"/>
      <c r="G102" s="2011" t="s">
        <v>2120</v>
      </c>
      <c r="H102" s="2779" t="e">
        <f ca="1">I118</f>
        <v>#REF!</v>
      </c>
      <c r="I102" s="133"/>
    </row>
    <row r="103" spans="1:35" ht="42.75" customHeight="1">
      <c r="A103" s="3197"/>
      <c r="B103" s="2808" t="s">
        <v>2120</v>
      </c>
      <c r="C103" s="2811">
        <f ca="1">C20</f>
        <v>11862</v>
      </c>
      <c r="D103" s="2812">
        <f ca="1">D20</f>
        <v>5084</v>
      </c>
      <c r="E103" s="3158" t="s">
        <v>2121</v>
      </c>
      <c r="F103" s="3159"/>
      <c r="G103" s="2012" t="s">
        <v>2122</v>
      </c>
      <c r="H103" s="2819">
        <f>IF(D36="正常操作",H104+H105+H106,H105+H106)</f>
        <v>0</v>
      </c>
      <c r="I103" s="133"/>
    </row>
    <row r="104" spans="1:35" ht="18.75" customHeight="1">
      <c r="A104" s="3197" t="s">
        <v>2123</v>
      </c>
      <c r="B104" s="2813" t="s">
        <v>2118</v>
      </c>
      <c r="C104" s="2814" t="e">
        <f ca="1">H118</f>
        <v>#REF!</v>
      </c>
      <c r="D104" s="2815"/>
      <c r="E104" s="1858" t="s">
        <v>2124</v>
      </c>
      <c r="F104" s="1849"/>
      <c r="G104" s="2012" t="s">
        <v>2122</v>
      </c>
      <c r="H104" s="2820">
        <f>IF(D36="同一抵押权人同一抵押物续贷",C36&amp;"（续贷，未扣减，详见特别提示）",C36)</f>
        <v>0</v>
      </c>
      <c r="I104" s="133"/>
    </row>
    <row r="105" spans="1:35" ht="18.75" customHeight="1" thickBot="1">
      <c r="A105" s="3207"/>
      <c r="B105" s="2816" t="s">
        <v>2120</v>
      </c>
      <c r="C105" s="2817" t="e">
        <f ca="1">I118</f>
        <v>#REF!</v>
      </c>
      <c r="D105" s="2818"/>
      <c r="E105" s="1858" t="s">
        <v>2125</v>
      </c>
      <c r="F105" s="1849"/>
      <c r="G105" s="2012" t="s">
        <v>2122</v>
      </c>
      <c r="H105" s="2821">
        <f>C37</f>
        <v>0</v>
      </c>
      <c r="I105" s="133"/>
    </row>
    <row r="106" spans="1:35" ht="18.75" customHeight="1">
      <c r="A106" s="1931" t="s">
        <v>2126</v>
      </c>
      <c r="B106" s="1931"/>
      <c r="C106" s="1931"/>
      <c r="D106" s="1931"/>
      <c r="E106" s="2013" t="s">
        <v>2127</v>
      </c>
      <c r="F106" s="1849"/>
      <c r="G106" s="2012" t="s">
        <v>2122</v>
      </c>
      <c r="H106" s="2821">
        <f>C38</f>
        <v>0</v>
      </c>
      <c r="I106" s="133"/>
    </row>
    <row r="107" spans="1:35" ht="18.75" customHeight="1">
      <c r="A107" s="133"/>
      <c r="B107" s="133"/>
      <c r="C107" s="133"/>
      <c r="D107" s="133"/>
      <c r="E107" s="3198" t="str">
        <f>IF(项目基本情况!E8="已注销","——","3.房地产抵押价值")</f>
        <v>3.房地产抵押价值</v>
      </c>
      <c r="F107" s="3166"/>
      <c r="G107" s="2011" t="s">
        <v>2118</v>
      </c>
      <c r="H107" s="2819" t="e">
        <f ca="1">IF(E107="——","——",H101-H103)</f>
        <v>#REF!</v>
      </c>
      <c r="I107" s="133"/>
    </row>
    <row r="108" spans="1:35" ht="18.75" customHeight="1">
      <c r="A108" s="133"/>
      <c r="B108" s="133"/>
      <c r="C108" s="133"/>
      <c r="D108" s="133"/>
      <c r="E108" s="3198"/>
      <c r="F108" s="3166"/>
      <c r="G108" s="2011" t="s">
        <v>2120</v>
      </c>
      <c r="H108" s="2779" t="e">
        <f ca="1">ROUND(H107*10000/'数据-汇总表'!E3,0)</f>
        <v>#REF!</v>
      </c>
      <c r="I108" s="133"/>
    </row>
    <row r="109" spans="1:35" ht="18.75" customHeight="1">
      <c r="A109" s="133"/>
      <c r="B109" s="133"/>
      <c r="C109" s="133"/>
      <c r="D109" s="133"/>
      <c r="E109" s="3198" t="str">
        <f>IF(项目基本情况!E8="已注销及未注销","4.抵押担保权已注销时的房地产抵押价值",IF(项目基本情况!E8="已注销","3.抵押担保权已注销时的房地产抵押价值","——"))</f>
        <v>——</v>
      </c>
      <c r="F109" s="3166"/>
      <c r="G109" s="2011" t="s">
        <v>2118</v>
      </c>
      <c r="H109" s="2822" t="str">
        <f>IF(E109="——","——",H101-H105-H106)</f>
        <v>——</v>
      </c>
      <c r="I109" s="133"/>
    </row>
    <row r="110" spans="1:35" ht="18.75" customHeight="1">
      <c r="A110" s="133"/>
      <c r="B110" s="133"/>
      <c r="C110" s="133"/>
      <c r="D110" s="133"/>
      <c r="E110" s="3198"/>
      <c r="F110" s="3166"/>
      <c r="G110" s="2011" t="s">
        <v>2120</v>
      </c>
      <c r="H110" s="2779" t="str">
        <f>IF(H109="——","——",ROUND(H109*10000/'数据-汇总表'!E3,0))</f>
        <v>——</v>
      </c>
      <c r="I110" s="133"/>
    </row>
    <row r="111" spans="1:35" ht="18.75" customHeight="1">
      <c r="A111" s="133"/>
      <c r="B111" s="133"/>
      <c r="C111" s="133"/>
      <c r="D111" s="133"/>
      <c r="E111" s="3199" t="str">
        <f>IF(项目基本情况!E9="抵押净值",IF(OR(项目基本情况!E8="已注销",项目基本情况!E8="房地产抵押价值"),"4.抵押净值","5.抵押净值"),"——")</f>
        <v>——</v>
      </c>
      <c r="F111" s="3185"/>
      <c r="G111" s="2011" t="s">
        <v>2118</v>
      </c>
      <c r="H111" s="2819" t="str">
        <f>IF(E111="——","——",N59)</f>
        <v>——</v>
      </c>
      <c r="I111" s="133"/>
    </row>
    <row r="112" spans="1:35" ht="18.75" customHeight="1" thickBot="1">
      <c r="A112" s="133"/>
      <c r="B112" s="133"/>
      <c r="C112" s="133"/>
      <c r="D112" s="133"/>
      <c r="E112" s="3200"/>
      <c r="F112" s="3201"/>
      <c r="G112" s="2014" t="s">
        <v>2120</v>
      </c>
      <c r="H112" s="2823" t="str">
        <f>IF(E111="——","——",N61)</f>
        <v>——</v>
      </c>
      <c r="I112" s="133"/>
    </row>
    <row r="113" spans="1:27" ht="18.75" customHeight="1">
      <c r="A113" s="133"/>
      <c r="B113" s="133"/>
      <c r="C113" s="133"/>
      <c r="D113" s="133"/>
      <c r="E113" s="3208" t="s">
        <v>2126</v>
      </c>
      <c r="F113" s="3208"/>
      <c r="G113" s="3208"/>
      <c r="H113" s="3208"/>
      <c r="I113" s="133"/>
    </row>
    <row r="114" spans="1:27" ht="3.75" customHeight="1">
      <c r="A114" s="1931"/>
      <c r="B114" s="1931"/>
      <c r="C114" s="1931"/>
      <c r="D114" s="1931"/>
      <c r="E114" s="1993"/>
      <c r="F114" s="1993"/>
      <c r="G114" s="1993"/>
      <c r="H114" s="1993"/>
      <c r="I114" s="1931"/>
    </row>
    <row r="115" spans="1:27" ht="18.75" customHeight="1">
      <c r="A115" s="3219" t="s">
        <v>2128</v>
      </c>
      <c r="B115" s="3220"/>
      <c r="C115" s="3220"/>
      <c r="D115" s="3220"/>
      <c r="E115" s="3220"/>
      <c r="F115" s="3220"/>
      <c r="G115" s="3220"/>
      <c r="H115" s="3220"/>
      <c r="I115" s="3221"/>
    </row>
    <row r="116" spans="1:27" ht="27" customHeight="1">
      <c r="A116" s="3173" t="s">
        <v>2129</v>
      </c>
      <c r="B116" s="3177" t="s">
        <v>2130</v>
      </c>
      <c r="C116" s="3177" t="s">
        <v>2131</v>
      </c>
      <c r="D116" s="3183" t="s">
        <v>2132</v>
      </c>
      <c r="E116" s="3184"/>
      <c r="F116" s="3215" t="s">
        <v>2133</v>
      </c>
      <c r="G116" s="3215"/>
      <c r="H116" s="3173" t="s">
        <v>2134</v>
      </c>
      <c r="I116" s="3173"/>
    </row>
    <row r="117" spans="1:27" ht="18.75" customHeight="1">
      <c r="A117" s="3173"/>
      <c r="B117" s="3178"/>
      <c r="C117" s="3178"/>
      <c r="D117" s="2550" t="s">
        <v>2135</v>
      </c>
      <c r="E117" s="2550" t="s">
        <v>2136</v>
      </c>
      <c r="F117" s="2550" t="s">
        <v>2135</v>
      </c>
      <c r="G117" s="2550" t="s">
        <v>2137</v>
      </c>
      <c r="H117" s="2550" t="s">
        <v>2135</v>
      </c>
      <c r="I117" s="2550" t="s">
        <v>2137</v>
      </c>
    </row>
    <row r="118" spans="1:27" ht="24.75" customHeight="1">
      <c r="A118" s="2824" t="str">
        <f>项目基本情况!S2</f>
        <v>房地产</v>
      </c>
      <c r="B118" s="2550">
        <f>M18</f>
        <v>456.22</v>
      </c>
      <c r="C118" s="2550">
        <f>M19</f>
        <v>274.02999999999997</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t="e">
        <f ca="1">ROUND(IF(D32="总价",C32,I118*B118/10000),0)</f>
        <v>#REF!</v>
      </c>
      <c r="I118" s="2550" t="e">
        <f ca="1">ROUND(IF(D32="楼面单价",C32,H118*10000/B118),0)</f>
        <v>#REF!</v>
      </c>
    </row>
    <row r="119" spans="1:27" ht="18.75" customHeight="1">
      <c r="A119" s="3173" t="s">
        <v>2138</v>
      </c>
      <c r="B119" s="3173"/>
      <c r="C119" s="3173"/>
      <c r="D119" s="3179" t="e">
        <f ca="1">NUMBERSTRING(INT(D118*10000),2)&amp;"元整"</f>
        <v>#REF!</v>
      </c>
      <c r="E119" s="3180"/>
      <c r="F119" s="3179" t="e">
        <f ca="1">NUMBERSTRING(INT(F118*10000),2)&amp;"元整"</f>
        <v>#REF!</v>
      </c>
      <c r="G119" s="3180"/>
      <c r="H119" s="3179" t="e">
        <f ca="1">NUMBERSTRING(INT(H118*10000),2)&amp;"元整"</f>
        <v>#REF!</v>
      </c>
      <c r="I119" s="3180"/>
    </row>
    <row r="120" spans="1:27" ht="18.75" customHeight="1">
      <c r="A120" s="3174" t="str">
        <f>IF(项目基本情况!B9="房地产市场价值","",MID(E103,3,LEN(E103)-2))</f>
        <v>估价师知悉的法定优先受偿款</v>
      </c>
      <c r="B120" s="3175"/>
      <c r="C120" s="3176"/>
      <c r="D120" s="3174">
        <f>H103</f>
        <v>0</v>
      </c>
      <c r="E120" s="3175"/>
      <c r="F120" s="3175"/>
      <c r="G120" s="3175"/>
      <c r="H120" s="3175"/>
      <c r="I120" s="317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16" t="s">
        <v>2138</v>
      </c>
      <c r="B121" s="3217"/>
      <c r="C121" s="3218"/>
      <c r="D121" s="3179" t="str">
        <f>IF(D120=0,"零元整",NUMBERSTRING(INT(D120*10000),2)&amp;"元整")</f>
        <v>零元整</v>
      </c>
      <c r="E121" s="3181"/>
      <c r="F121" s="3181"/>
      <c r="G121" s="3181"/>
      <c r="H121" s="3181"/>
      <c r="I121" s="3180"/>
      <c r="AA121" s="732"/>
    </row>
    <row r="122" spans="1:27" ht="18.75" customHeight="1">
      <c r="A122" s="3185" t="str">
        <f>IF(项目基本情况!B9="房地产市场价值","",MID(E107,3,LEN(E107)-2))</f>
        <v>房地产抵押价值</v>
      </c>
      <c r="B122" s="3185"/>
      <c r="C122" s="3185"/>
      <c r="D122" s="3174" t="e">
        <f ca="1">H107</f>
        <v>#REF!</v>
      </c>
      <c r="E122" s="3175"/>
      <c r="F122" s="3175"/>
      <c r="G122" s="3175"/>
      <c r="H122" s="3175"/>
      <c r="I122" s="3176"/>
      <c r="AA122" s="732"/>
    </row>
    <row r="123" spans="1:27" ht="18.75" customHeight="1">
      <c r="A123" s="3173" t="s">
        <v>2138</v>
      </c>
      <c r="B123" s="3173"/>
      <c r="C123" s="3173"/>
      <c r="D123" s="3179" t="e">
        <f ca="1">NUMBERSTRING(INT(D122*10000),2)&amp;"元整"</f>
        <v>#REF!</v>
      </c>
      <c r="E123" s="3181"/>
      <c r="F123" s="3181"/>
      <c r="G123" s="3181"/>
      <c r="H123" s="3181"/>
      <c r="I123" s="3180"/>
      <c r="AA123" s="732"/>
    </row>
    <row r="124" spans="1:27" ht="18.75" customHeight="1">
      <c r="A124" s="3185" t="str">
        <f>IF(项目基本情况!B9="房地产市场价值","",MID(E109,3,LEN(E109)-2))</f>
        <v/>
      </c>
      <c r="B124" s="3185"/>
      <c r="C124" s="3185"/>
      <c r="D124" s="3174" t="str">
        <f>H109</f>
        <v>——</v>
      </c>
      <c r="E124" s="3175"/>
      <c r="F124" s="3175"/>
      <c r="G124" s="3175"/>
      <c r="H124" s="3175"/>
      <c r="I124" s="3176"/>
      <c r="AA124" s="732"/>
    </row>
    <row r="125" spans="1:27" ht="18.75" customHeight="1">
      <c r="A125" s="3173" t="s">
        <v>2138</v>
      </c>
      <c r="B125" s="3173"/>
      <c r="C125" s="3173"/>
      <c r="D125" s="3179" t="e">
        <f>NUMBERSTRING(INT(D124*10000),2)&amp;"元整"</f>
        <v>#VALUE!</v>
      </c>
      <c r="E125" s="3181"/>
      <c r="F125" s="3181"/>
      <c r="G125" s="3181"/>
      <c r="H125" s="3181"/>
      <c r="I125" s="3180"/>
      <c r="AA125" s="732"/>
    </row>
    <row r="126" spans="1:27" ht="18.75" customHeight="1">
      <c r="A126" s="3185" t="str">
        <f>IF(项目基本情况!B9="房地产市场价值","",MID(E111,3,LEN(E111)-2))</f>
        <v/>
      </c>
      <c r="B126" s="3185"/>
      <c r="C126" s="3185"/>
      <c r="D126" s="3174" t="str">
        <f>H111</f>
        <v>——</v>
      </c>
      <c r="E126" s="3175"/>
      <c r="F126" s="3175"/>
      <c r="G126" s="3175"/>
      <c r="H126" s="3175"/>
      <c r="I126" s="3176"/>
      <c r="AA126" s="732"/>
    </row>
    <row r="127" spans="1:27" ht="18.75" customHeight="1">
      <c r="A127" s="3173" t="s">
        <v>2138</v>
      </c>
      <c r="B127" s="3173"/>
      <c r="C127" s="3173"/>
      <c r="D127" s="3179" t="e">
        <f>NUMBERSTRING(INT(D126*10000),2)&amp;"元整"</f>
        <v>#VALUE!</v>
      </c>
      <c r="E127" s="3181"/>
      <c r="F127" s="3181"/>
      <c r="G127" s="3181"/>
      <c r="H127" s="3181"/>
      <c r="I127" s="3180"/>
      <c r="AA127" s="732"/>
    </row>
    <row r="128" spans="1:27" ht="21.75" customHeight="1">
      <c r="A128" s="3182" t="s">
        <v>2139</v>
      </c>
      <c r="B128" s="3182"/>
      <c r="C128" s="3182"/>
      <c r="D128" s="3182"/>
      <c r="E128" s="3182"/>
      <c r="F128" s="3182"/>
      <c r="G128" s="3182"/>
      <c r="H128" s="3182"/>
      <c r="I128" s="3182"/>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c r="C1" s="203"/>
      <c r="D1" s="203"/>
      <c r="E1" s="203"/>
      <c r="F1" s="203"/>
      <c r="G1" s="1286">
        <f>MATCH(B1,'数据-取费表'!A6:A16,0)+5</f>
        <v>8</v>
      </c>
    </row>
    <row r="2" spans="1:9" s="205" customFormat="1" ht="18" customHeight="1">
      <c r="A2" s="206" t="s">
        <v>2148</v>
      </c>
      <c r="B2" s="207">
        <f ca="1">IF(D2="——",C52,C52-E2)</f>
        <v>11487</v>
      </c>
      <c r="C2" s="204" t="s">
        <v>2149</v>
      </c>
      <c r="D2" s="2037" t="s">
        <v>70</v>
      </c>
      <c r="E2" s="1329"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4227</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C6+C7+C8</f>
        <v>285</v>
      </c>
      <c r="D5" s="216" t="s">
        <v>2155</v>
      </c>
      <c r="E5" s="217" t="s">
        <v>2156</v>
      </c>
      <c r="F5" s="217" t="s">
        <v>2157</v>
      </c>
      <c r="G5" s="218"/>
    </row>
    <row r="6" spans="1:9" s="219" customFormat="1" ht="13.5" customHeight="1">
      <c r="A6" s="884" t="s">
        <v>2158</v>
      </c>
      <c r="B6" s="220" t="s">
        <v>2159</v>
      </c>
      <c r="C6" s="221"/>
      <c r="D6" s="222"/>
      <c r="E6" s="223"/>
      <c r="F6" s="223"/>
      <c r="G6" s="224"/>
    </row>
    <row r="7" spans="1:9" s="219" customFormat="1" ht="13.5" customHeight="1">
      <c r="A7" s="884" t="s">
        <v>2160</v>
      </c>
      <c r="B7" s="220" t="s">
        <v>2161</v>
      </c>
      <c r="C7" s="225">
        <f>ROUND(C6*F7,0)</f>
        <v>0</v>
      </c>
      <c r="D7" s="225"/>
      <c r="E7" s="223"/>
      <c r="F7" s="226">
        <f>IF(项目基本情况!B8="出让",0,'数据-取费表'!B48+'数据-取费表'!B49)</f>
        <v>3.0499999999999999E-2</v>
      </c>
      <c r="G7" s="224"/>
    </row>
    <row r="8" spans="1:9" s="228" customFormat="1">
      <c r="A8" s="884" t="s">
        <v>2162</v>
      </c>
      <c r="B8" s="220" t="s">
        <v>2163</v>
      </c>
      <c r="C8" s="225">
        <f>IF(G8="已包含在土地购买价格中","0",IF(B1="",'数据-取费表'!B29,IF(G9="全部缴纳",C9+C10,H9)))</f>
        <v>285</v>
      </c>
      <c r="D8" s="227"/>
      <c r="E8" s="225"/>
      <c r="F8" s="226"/>
      <c r="G8" s="2040"/>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105</v>
      </c>
      <c r="F9" s="226"/>
      <c r="G9" s="2041"/>
      <c r="H9" s="1297"/>
      <c r="I9" s="2042" t="s">
        <v>2165</v>
      </c>
    </row>
    <row r="10" spans="1:9" s="219" customFormat="1" ht="13.5" customHeight="1">
      <c r="A10" s="885" t="s">
        <v>801</v>
      </c>
      <c r="B10" s="229" t="s">
        <v>2166</v>
      </c>
      <c r="C10" s="230">
        <f ca="1">ROUND(D10*E10/10000,0)</f>
        <v>285</v>
      </c>
      <c r="D10" s="952">
        <f ca="1">IF(B1="",'数据-汇总表'!E6,IF(INDIRECT("'数据-取费表'!c"&amp;$G$1)="住宅",INDIRECT("'数据-取费表'!s"&amp;$G$1),INDIRECT("'数据-取费表'!k"&amp;$G$1)+INDIRECT("'数据-取费表'!s"&amp;$G$1)))</f>
        <v>27173.91</v>
      </c>
      <c r="E10" s="230">
        <f>'数据-取费表'!B28</f>
        <v>105</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f ca="1">IF(G19="已包含在土地取得成本中","0",ROUND(D19*E19/10000,0))</f>
        <v>543</v>
      </c>
      <c r="D19" s="956">
        <f ca="1">D9+D10</f>
        <v>27173.91</v>
      </c>
      <c r="E19" s="216">
        <f>'数据-取费表'!B31</f>
        <v>200</v>
      </c>
      <c r="F19" s="236"/>
      <c r="G19" s="2040"/>
    </row>
    <row r="20" spans="1:7" s="219" customFormat="1" ht="13.5" customHeight="1">
      <c r="A20" s="260" t="s">
        <v>2179</v>
      </c>
      <c r="B20" s="215" t="s">
        <v>2180</v>
      </c>
      <c r="C20" s="237">
        <f ca="1">ROUND((C5+C19)*F20,0)</f>
        <v>21</v>
      </c>
      <c r="D20" s="237"/>
      <c r="E20" s="237"/>
      <c r="F20" s="238">
        <f>'数据-取费表'!B37</f>
        <v>2.5000000000000001E-2</v>
      </c>
      <c r="G20" s="239" t="s">
        <v>2181</v>
      </c>
    </row>
    <row r="21" spans="1:7" s="219" customFormat="1" ht="13.5" customHeight="1">
      <c r="A21" s="260" t="s">
        <v>2182</v>
      </c>
      <c r="B21" s="215" t="s">
        <v>2183</v>
      </c>
      <c r="C21" s="240">
        <f>F21</f>
        <v>2.5000000000000001E-2</v>
      </c>
      <c r="D21" s="241" t="s">
        <v>2184</v>
      </c>
      <c r="E21" s="237"/>
      <c r="F21" s="238">
        <f>'数据-取费表'!B38</f>
        <v>2.5000000000000001E-2</v>
      </c>
      <c r="G21" s="239" t="s">
        <v>2185</v>
      </c>
    </row>
    <row r="22" spans="1:7" s="219" customFormat="1" ht="13.5" customHeight="1">
      <c r="A22" s="260" t="s">
        <v>2186</v>
      </c>
      <c r="B22" s="215" t="s">
        <v>2187</v>
      </c>
      <c r="C22" s="1262">
        <f ca="1">ROUND(SUM(C23:C25),0)</f>
        <v>56</v>
      </c>
      <c r="D22" s="240">
        <f ca="1">C26</f>
        <v>8.0000000000000004E-4</v>
      </c>
      <c r="E22" s="241" t="s">
        <v>2184</v>
      </c>
      <c r="F22" s="242">
        <f ca="1">'数据-取费表'!B40</f>
        <v>4.3499999999999997E-2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19</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36</v>
      </c>
      <c r="D24" s="243"/>
      <c r="E24" s="243"/>
      <c r="F24" s="244"/>
      <c r="G24" s="245" t="s">
        <v>2193</v>
      </c>
    </row>
    <row r="25" spans="1:7" s="219" customFormat="1" ht="24">
      <c r="A25" s="886" t="s">
        <v>2194</v>
      </c>
      <c r="B25" s="220" t="s">
        <v>2195</v>
      </c>
      <c r="C25" s="1263">
        <f ca="1">ROUND(IF('数据-取费表'!B22&lt;=1,C20*F22*'数据-取费表'!B23/2,C20*(POWER((1+F22),'数据-取费表'!B23/2)-1)),0)</f>
        <v>1</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127</v>
      </c>
      <c r="D27" s="240">
        <f ca="1">C29</f>
        <v>3.8E-3</v>
      </c>
      <c r="E27" s="241" t="s">
        <v>2200</v>
      </c>
      <c r="F27" s="251">
        <f ca="1">IF(B1="",'数据-取费表'!Q16,INDIRECT("'数据-取费表'!q"&amp;$G$1))</f>
        <v>0.15</v>
      </c>
      <c r="G27" s="252" t="s">
        <v>2201</v>
      </c>
    </row>
    <row r="28" spans="1:7" s="219" customFormat="1" ht="13.5" customHeight="1">
      <c r="A28" s="886" t="s">
        <v>791</v>
      </c>
      <c r="B28" s="253" t="s">
        <v>2202</v>
      </c>
      <c r="C28" s="254">
        <f ca="1">ROUND((C5+C19+C20)*F27*'数据-取费表'!B21/'数据-取费表'!B20,0)</f>
        <v>127</v>
      </c>
      <c r="D28" s="240"/>
      <c r="E28" s="241"/>
      <c r="F28" s="251"/>
      <c r="G28" s="252"/>
    </row>
    <row r="29" spans="1:7" s="219" customFormat="1" ht="13.5" customHeight="1">
      <c r="A29" s="886" t="s">
        <v>792</v>
      </c>
      <c r="B29" s="253" t="s">
        <v>2203</v>
      </c>
      <c r="C29" s="243">
        <f ca="1">ROUND(C21*F27*'数据-取费表'!B21/'数据-取费表'!B20,4)</f>
        <v>3.8E-3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1125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9225</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8152</v>
      </c>
      <c r="D34" s="222"/>
      <c r="E34" s="225"/>
      <c r="F34" s="262">
        <f ca="1">IF('数据-取费表'!B24=0,1,IF(B1="",'数据-取费表'!N16,INDIRECT("'数据-取费表'!n"&amp;$G$1)))</f>
        <v>1</v>
      </c>
      <c r="G34" s="224" t="s">
        <v>2212</v>
      </c>
    </row>
    <row r="35" spans="1:7" ht="13.5" customHeight="1">
      <c r="A35" s="886" t="s">
        <v>796</v>
      </c>
      <c r="B35" s="220" t="s">
        <v>2213</v>
      </c>
      <c r="C35" s="225">
        <f ca="1">ROUND(C34*F35,0)</f>
        <v>408</v>
      </c>
      <c r="D35" s="225"/>
      <c r="E35" s="225"/>
      <c r="F35" s="264">
        <f>'数据-取费表'!B33</f>
        <v>0.05</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2216</v>
      </c>
    </row>
    <row r="37" spans="1:7" s="263" customFormat="1" ht="13.5" customHeight="1">
      <c r="A37" s="886" t="s">
        <v>798</v>
      </c>
      <c r="B37" s="220" t="s">
        <v>2217</v>
      </c>
      <c r="C37" s="254">
        <f ca="1">ROUND(E37*D37*F34/10000,0)</f>
        <v>543</v>
      </c>
      <c r="D37" s="222">
        <f ca="1">D19</f>
        <v>27173.91</v>
      </c>
      <c r="E37" s="254">
        <f>'数据-取费表'!B35</f>
        <v>200</v>
      </c>
      <c r="F37" s="264"/>
      <c r="G37" s="266" t="s">
        <v>2218</v>
      </c>
    </row>
    <row r="38" spans="1:7" ht="13.5" customHeight="1">
      <c r="A38" s="886" t="s">
        <v>799</v>
      </c>
      <c r="B38" s="220" t="s">
        <v>2219</v>
      </c>
      <c r="C38" s="225">
        <f ca="1">ROUND(C34*F38,0)</f>
        <v>122</v>
      </c>
      <c r="D38" s="225"/>
      <c r="E38" s="225"/>
      <c r="F38" s="264">
        <f>'数据-取费表'!B36</f>
        <v>1.4999999999999999E-2</v>
      </c>
      <c r="G38" s="224" t="s">
        <v>2214</v>
      </c>
    </row>
    <row r="39" spans="1:7" s="219" customFormat="1" ht="13.5" customHeight="1">
      <c r="A39" s="260" t="s">
        <v>2220</v>
      </c>
      <c r="B39" s="215" t="s">
        <v>2221</v>
      </c>
      <c r="C39" s="237">
        <f ca="1">ROUND(C33*F20,0)</f>
        <v>231</v>
      </c>
      <c r="D39" s="237"/>
      <c r="E39" s="237"/>
      <c r="F39" s="2533">
        <f>F20</f>
        <v>2.5000000000000001E-2</v>
      </c>
      <c r="G39" s="239" t="s">
        <v>2222</v>
      </c>
    </row>
    <row r="40" spans="1:7" s="219" customFormat="1" ht="13.5" customHeight="1">
      <c r="A40" s="260" t="s">
        <v>2223</v>
      </c>
      <c r="B40" s="215" t="s">
        <v>2224</v>
      </c>
      <c r="C40" s="1493">
        <f>F21</f>
        <v>2.5000000000000001E-2</v>
      </c>
      <c r="D40" s="241" t="s">
        <v>2225</v>
      </c>
      <c r="E40" s="237"/>
      <c r="F40" s="2533">
        <f>F21</f>
        <v>2.5000000000000001E-2</v>
      </c>
      <c r="G40" s="239" t="s">
        <v>2226</v>
      </c>
    </row>
    <row r="41" spans="1:7" s="219" customFormat="1" ht="13.5" customHeight="1">
      <c r="A41" s="260" t="s">
        <v>2227</v>
      </c>
      <c r="B41" s="215" t="s">
        <v>2228</v>
      </c>
      <c r="C41" s="237">
        <f ca="1">ROUND(SUM(C42:C43),0)</f>
        <v>306</v>
      </c>
      <c r="D41" s="240">
        <f ca="1">C44</f>
        <v>8.0000000000000004E-4</v>
      </c>
      <c r="E41" s="241" t="s">
        <v>2225</v>
      </c>
      <c r="F41" s="2534">
        <f ca="1">F22</f>
        <v>4.3499999999999997E-2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299</v>
      </c>
      <c r="D42" s="243"/>
      <c r="E42" s="243"/>
      <c r="F42" s="244"/>
      <c r="G42" s="3255" t="s">
        <v>2230</v>
      </c>
    </row>
    <row r="43" spans="1:7" ht="13.5" customHeight="1">
      <c r="A43" s="886" t="s">
        <v>792</v>
      </c>
      <c r="B43" s="220" t="s">
        <v>2231</v>
      </c>
      <c r="C43" s="243">
        <f ca="1">ROUND(IF('数据-取费表'!B22&lt;=1,C39*F22*'数据-取费表'!B21/2,C39*(POWER((1+F22),'数据-取费表'!B21/2)-1)),0)</f>
        <v>7</v>
      </c>
      <c r="D43" s="243"/>
      <c r="E43" s="243"/>
      <c r="F43" s="244"/>
      <c r="G43" s="3256"/>
    </row>
    <row r="44" spans="1:7" ht="13.5" customHeight="1">
      <c r="A44" s="886" t="s">
        <v>793</v>
      </c>
      <c r="B44" s="220" t="s">
        <v>2232</v>
      </c>
      <c r="C44" s="243">
        <f ca="1">ROUND(IF('数据-取费表'!B22&lt;=1,C40*F22*'数据-取费表'!B21/2,C40*(POWER((1+F22),'数据-取费表'!B21/2)-1)),4)</f>
        <v>8.0000000000000004E-4</v>
      </c>
      <c r="D44" s="243"/>
      <c r="E44" s="243"/>
      <c r="F44" s="244"/>
      <c r="G44" s="3257"/>
    </row>
    <row r="45" spans="1:7" s="219" customFormat="1" ht="13.5" customHeight="1">
      <c r="A45" s="260" t="s">
        <v>2233</v>
      </c>
      <c r="B45" s="249" t="s">
        <v>2199</v>
      </c>
      <c r="C45" s="250">
        <f ca="1">C46</f>
        <v>1418</v>
      </c>
      <c r="D45" s="240">
        <f ca="1">C47</f>
        <v>3.8E-3</v>
      </c>
      <c r="E45" s="241" t="s">
        <v>2225</v>
      </c>
      <c r="F45" s="2535">
        <f ca="1">F27</f>
        <v>0.15</v>
      </c>
      <c r="G45" s="252" t="s">
        <v>2234</v>
      </c>
    </row>
    <row r="46" spans="1:7" s="219" customFormat="1" ht="13.5" customHeight="1">
      <c r="A46" s="886" t="s">
        <v>791</v>
      </c>
      <c r="B46" s="253" t="s">
        <v>2235</v>
      </c>
      <c r="C46" s="254">
        <f ca="1">ROUND((C33+C39)*F27,0)</f>
        <v>1418</v>
      </c>
      <c r="D46" s="268"/>
      <c r="E46" s="241"/>
      <c r="F46" s="251"/>
      <c r="G46" s="252"/>
    </row>
    <row r="47" spans="1:7" s="219" customFormat="1" ht="13.5" customHeight="1">
      <c r="A47" s="886" t="s">
        <v>792</v>
      </c>
      <c r="B47" s="253" t="s">
        <v>2236</v>
      </c>
      <c r="C47" s="243">
        <f ca="1">ROUND(C40*F27,4)</f>
        <v>3.8E-3</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12191</v>
      </c>
      <c r="D49" s="237"/>
      <c r="E49" s="237"/>
      <c r="F49" s="269"/>
      <c r="G49" s="239" t="s">
        <v>2240</v>
      </c>
    </row>
    <row r="50" spans="1:7" s="263" customFormat="1" ht="24">
      <c r="A50" s="260" t="s">
        <v>2241</v>
      </c>
      <c r="B50" s="215" t="s">
        <v>2242</v>
      </c>
      <c r="C50" s="237"/>
      <c r="D50" s="237"/>
      <c r="E50" s="237"/>
      <c r="F50" s="269">
        <f>IF('数据-取费表'!B24=0,'数据-取费表'!N16,1)</f>
        <v>0.85</v>
      </c>
      <c r="G50" s="252" t="s">
        <v>2243</v>
      </c>
    </row>
    <row r="51" spans="1:7" ht="16.5" customHeight="1">
      <c r="A51" s="260" t="s">
        <v>2244</v>
      </c>
      <c r="B51" s="215" t="s">
        <v>2245</v>
      </c>
      <c r="C51" s="237">
        <f ca="1">ROUND(C49*F50,0)</f>
        <v>10362</v>
      </c>
      <c r="D51" s="237"/>
      <c r="E51" s="237"/>
      <c r="F51" s="269"/>
      <c r="G51" s="239" t="s">
        <v>2246</v>
      </c>
    </row>
    <row r="52" spans="1:7" s="213" customFormat="1" ht="16.5" thickBot="1">
      <c r="A52" s="270" t="s">
        <v>2247</v>
      </c>
      <c r="B52" s="271"/>
      <c r="C52" s="272">
        <f ca="1">C31+C51</f>
        <v>11487</v>
      </c>
      <c r="D52" s="271"/>
      <c r="E52" s="271"/>
      <c r="F52" s="271"/>
      <c r="G52" s="273"/>
    </row>
    <row r="55" spans="1:7" ht="15">
      <c r="B55" s="275" t="s">
        <v>2248</v>
      </c>
      <c r="C55" s="276"/>
    </row>
    <row r="56" spans="1:7">
      <c r="B56" s="278" t="s">
        <v>1478</v>
      </c>
      <c r="C56" s="280">
        <f ca="1">1-C57</f>
        <v>9.7999999999999976E-2</v>
      </c>
    </row>
    <row r="57" spans="1:7">
      <c r="B57" s="278" t="s">
        <v>1479</v>
      </c>
      <c r="C57" s="279">
        <f ca="1">ROUND(C51/C52,3)</f>
        <v>0.90200000000000002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66" t="str">
        <f>项目基本情况!B1</f>
        <v>预评估</v>
      </c>
      <c r="C37" s="3066"/>
      <c r="D37" s="3066"/>
      <c r="E37" s="3066"/>
      <c r="F37" s="3066"/>
      <c r="G37" s="3066"/>
      <c r="H37" s="3066"/>
      <c r="I37" s="3066"/>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6">
        <f>MATCH(B1,'数据-取费表'!A6:A16,0)+5</f>
        <v>8</v>
      </c>
      <c r="H1" s="1190" t="str">
        <f>IF(ISERROR(FIND("住宅",B1)),"非住宅","住宅")</f>
        <v>非住宅</v>
      </c>
    </row>
    <row r="2" spans="1:8" s="205" customFormat="1" ht="18" customHeight="1">
      <c r="A2" s="206" t="s">
        <v>2148</v>
      </c>
      <c r="B2" s="207">
        <f ca="1">ROUND(IF(D2="——",C52/10000,C52/10000-E2),0)</f>
        <v>11489</v>
      </c>
      <c r="C2" s="204" t="s">
        <v>2149</v>
      </c>
      <c r="D2" s="2037" t="s">
        <v>70</v>
      </c>
      <c r="E2" s="1329"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4228</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2853261</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2853261</v>
      </c>
      <c r="D8" s="227"/>
      <c r="E8" s="225"/>
      <c r="F8" s="226"/>
      <c r="G8" s="2040"/>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105</v>
      </c>
      <c r="F9" s="226"/>
      <c r="G9" s="231"/>
    </row>
    <row r="10" spans="1:8" s="219" customFormat="1" ht="13.5" customHeight="1">
      <c r="A10" s="885" t="s">
        <v>801</v>
      </c>
      <c r="B10" s="229" t="s">
        <v>2166</v>
      </c>
      <c r="C10" s="230">
        <f ca="1">ROUND(D10*E10,0)</f>
        <v>2853261</v>
      </c>
      <c r="D10" s="952">
        <f ca="1">IF(B1="",'数据-汇总表'!E6,IF(INDIRECT("'数据-取费表'!c"&amp;$G$1)="住宅",INDIRECT("'数据-取费表'!s"&amp;$G$1),INDIRECT("'数据-取费表'!k"&amp;$G$1)+INDIRECT("'数据-取费表'!s"&amp;$G$1)))</f>
        <v>27173.91</v>
      </c>
      <c r="E10" s="230">
        <f>'数据-取费表'!B28</f>
        <v>105</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5434782</v>
      </c>
      <c r="D19" s="956">
        <f ca="1">D9+D10</f>
        <v>27173.91</v>
      </c>
      <c r="E19" s="216">
        <f>'数据-取费表'!B31</f>
        <v>200</v>
      </c>
      <c r="F19" s="236"/>
      <c r="G19" s="2040"/>
    </row>
    <row r="20" spans="1:7" s="219" customFormat="1" ht="13.5" customHeight="1">
      <c r="A20" s="260" t="s">
        <v>2260</v>
      </c>
      <c r="B20" s="215" t="s">
        <v>2261</v>
      </c>
      <c r="C20" s="237">
        <f ca="1">ROUND((C5+C19)*F20,0)</f>
        <v>207201</v>
      </c>
      <c r="D20" s="237"/>
      <c r="E20" s="237"/>
      <c r="F20" s="238">
        <f>'数据-取费表'!B37</f>
        <v>2.5000000000000001E-2</v>
      </c>
      <c r="G20" s="239" t="s">
        <v>2262</v>
      </c>
    </row>
    <row r="21" spans="1:7" s="219" customFormat="1" ht="13.5" customHeight="1">
      <c r="A21" s="260" t="s">
        <v>2263</v>
      </c>
      <c r="B21" s="215" t="s">
        <v>2264</v>
      </c>
      <c r="C21" s="240">
        <f>F21</f>
        <v>2.5000000000000001E-2</v>
      </c>
      <c r="D21" s="241" t="s">
        <v>2265</v>
      </c>
      <c r="E21" s="237"/>
      <c r="F21" s="238">
        <f>'数据-取费表'!B38</f>
        <v>2.5000000000000001E-2</v>
      </c>
      <c r="G21" s="239" t="s">
        <v>2266</v>
      </c>
    </row>
    <row r="22" spans="1:7" s="219" customFormat="1" ht="13.5" customHeight="1">
      <c r="A22" s="260" t="s">
        <v>2267</v>
      </c>
      <c r="B22" s="215" t="s">
        <v>2268</v>
      </c>
      <c r="C22" s="1287">
        <f ca="1">ROUND(SUM(C23:C25),0)</f>
        <v>553357</v>
      </c>
      <c r="D22" s="240">
        <f ca="1">C26</f>
        <v>8.0000000000000004E-4</v>
      </c>
      <c r="E22" s="241" t="s">
        <v>2265</v>
      </c>
      <c r="F22" s="242">
        <f ca="1">'数据-取费表'!B40</f>
        <v>4.3499999999999997E-2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188185</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358448</v>
      </c>
      <c r="D24" s="243"/>
      <c r="E24" s="243"/>
      <c r="F24" s="244"/>
      <c r="G24" s="245" t="s">
        <v>2272</v>
      </c>
    </row>
    <row r="25" spans="1:7" s="219" customFormat="1" ht="24">
      <c r="A25" s="886" t="s">
        <v>2162</v>
      </c>
      <c r="B25" s="220" t="s">
        <v>2273</v>
      </c>
      <c r="C25" s="1288">
        <f ca="1">ROUND(IF('数据-取费表'!B22&lt;=1,C20*F22*'数据-取费表'!B22/2,C20*(POWER((1+F22),'数据-取费表'!B22/2)-1)),0)</f>
        <v>6724</v>
      </c>
      <c r="D25" s="243"/>
      <c r="E25" s="246"/>
      <c r="F25" s="244"/>
      <c r="G25" s="247" t="s">
        <v>2274</v>
      </c>
    </row>
    <row r="26" spans="1:7" s="219" customFormat="1">
      <c r="A26" s="886" t="s">
        <v>795</v>
      </c>
      <c r="B26" s="220" t="s">
        <v>2197</v>
      </c>
      <c r="C26" s="243">
        <f ca="1">ROUND(IF('数据-取费表'!B22&lt;=1,F21*F22*'数据-取费表'!B22/2,F21*(POWER((1+F22),'数据-取费表'!B22/2)-1)),4)</f>
        <v>8.0000000000000004E-4</v>
      </c>
      <c r="D26" s="243"/>
      <c r="E26" s="246"/>
      <c r="F26" s="244"/>
      <c r="G26" s="248"/>
    </row>
    <row r="27" spans="1:7" s="219" customFormat="1" ht="24.75">
      <c r="A27" s="260" t="s">
        <v>2198</v>
      </c>
      <c r="B27" s="249" t="s">
        <v>2199</v>
      </c>
      <c r="C27" s="250">
        <f ca="1">C28</f>
        <v>1274287</v>
      </c>
      <c r="D27" s="240">
        <f ca="1">C29</f>
        <v>3.8E-3</v>
      </c>
      <c r="E27" s="241" t="s">
        <v>2200</v>
      </c>
      <c r="F27" s="251">
        <f ca="1">IF(B1="",'数据-取费表'!Q16,INDIRECT("'数据-取费表'!q"&amp;$G$1))</f>
        <v>0.15</v>
      </c>
      <c r="G27" s="252" t="s">
        <v>2201</v>
      </c>
    </row>
    <row r="28" spans="1:7" s="219" customFormat="1" ht="13.5" customHeight="1">
      <c r="A28" s="886" t="s">
        <v>791</v>
      </c>
      <c r="B28" s="253" t="s">
        <v>2202</v>
      </c>
      <c r="C28" s="254">
        <f ca="1">ROUND((C5+C19+C20)*F27,0)</f>
        <v>1274287</v>
      </c>
      <c r="D28" s="240"/>
      <c r="E28" s="241"/>
      <c r="F28" s="251"/>
      <c r="G28" s="252"/>
    </row>
    <row r="29" spans="1:7" s="219" customFormat="1" ht="13.5" customHeight="1">
      <c r="A29" s="886" t="s">
        <v>792</v>
      </c>
      <c r="B29" s="253" t="s">
        <v>2203</v>
      </c>
      <c r="C29" s="243">
        <f ca="1">ROUND(C21*F27,4)</f>
        <v>3.8E-3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11256011</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92255425</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81521730</v>
      </c>
      <c r="D34" s="222"/>
      <c r="E34" s="225"/>
      <c r="F34" s="262"/>
      <c r="G34" s="224"/>
    </row>
    <row r="35" spans="1:7" ht="13.5" customHeight="1">
      <c r="A35" s="886" t="s">
        <v>796</v>
      </c>
      <c r="B35" s="220" t="s">
        <v>2213</v>
      </c>
      <c r="C35" s="225">
        <f ca="1">ROUND(C34*F35,0)</f>
        <v>4076087</v>
      </c>
      <c r="D35" s="225"/>
      <c r="E35" s="225"/>
      <c r="F35" s="264">
        <f>'数据-取费表'!B33</f>
        <v>0.05</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v>
      </c>
      <c r="G36" s="265" t="s">
        <v>2216</v>
      </c>
    </row>
    <row r="37" spans="1:7" s="263" customFormat="1" ht="13.5" customHeight="1">
      <c r="A37" s="886" t="s">
        <v>798</v>
      </c>
      <c r="B37" s="220" t="s">
        <v>2217</v>
      </c>
      <c r="C37" s="254">
        <f ca="1">ROUND(E37*D37,0)</f>
        <v>5434782</v>
      </c>
      <c r="D37" s="222">
        <f ca="1">D19</f>
        <v>27173.91</v>
      </c>
      <c r="E37" s="254">
        <f>'数据-取费表'!B35</f>
        <v>200</v>
      </c>
      <c r="F37" s="264"/>
      <c r="G37" s="266"/>
    </row>
    <row r="38" spans="1:7" ht="13.5" customHeight="1">
      <c r="A38" s="886" t="s">
        <v>799</v>
      </c>
      <c r="B38" s="220" t="s">
        <v>2219</v>
      </c>
      <c r="C38" s="225">
        <f ca="1">ROUND(C34*F38,0)</f>
        <v>1222826</v>
      </c>
      <c r="D38" s="225"/>
      <c r="E38" s="225"/>
      <c r="F38" s="264">
        <f>'数据-取费表'!B36</f>
        <v>1.4999999999999999E-2</v>
      </c>
      <c r="G38" s="224" t="s">
        <v>2214</v>
      </c>
    </row>
    <row r="39" spans="1:7" s="219" customFormat="1" ht="13.5" customHeight="1">
      <c r="A39" s="260" t="s">
        <v>2220</v>
      </c>
      <c r="B39" s="215" t="s">
        <v>2221</v>
      </c>
      <c r="C39" s="237">
        <f ca="1">ROUND(C33*F20,0)</f>
        <v>2306386</v>
      </c>
      <c r="D39" s="237"/>
      <c r="E39" s="237"/>
      <c r="F39" s="2533">
        <f>F20</f>
        <v>2.5000000000000001E-2</v>
      </c>
      <c r="G39" s="239" t="s">
        <v>2222</v>
      </c>
    </row>
    <row r="40" spans="1:7" s="219" customFormat="1" ht="13.5" customHeight="1">
      <c r="A40" s="260" t="s">
        <v>2223</v>
      </c>
      <c r="B40" s="215" t="s">
        <v>2224</v>
      </c>
      <c r="C40" s="1493">
        <f>F21</f>
        <v>2.5000000000000001E-2</v>
      </c>
      <c r="D40" s="241" t="s">
        <v>2225</v>
      </c>
      <c r="E40" s="237"/>
      <c r="F40" s="2533">
        <f>F21</f>
        <v>2.5000000000000001E-2</v>
      </c>
      <c r="G40" s="239" t="s">
        <v>2226</v>
      </c>
    </row>
    <row r="41" spans="1:7" s="219" customFormat="1" ht="13.5" customHeight="1">
      <c r="A41" s="260" t="s">
        <v>2227</v>
      </c>
      <c r="B41" s="215" t="s">
        <v>2228</v>
      </c>
      <c r="C41" s="237">
        <f ca="1">ROUND(SUM(C42:C43),0)</f>
        <v>3068601</v>
      </c>
      <c r="D41" s="240">
        <f ca="1">C44</f>
        <v>8.0000000000000004E-4</v>
      </c>
      <c r="E41" s="241" t="s">
        <v>2225</v>
      </c>
      <c r="F41" s="2534">
        <f ca="1">F22</f>
        <v>4.3499999999999997E-2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2993757</v>
      </c>
      <c r="D42" s="243"/>
      <c r="E42" s="243"/>
      <c r="F42" s="244"/>
      <c r="G42" s="3255" t="s">
        <v>2277</v>
      </c>
    </row>
    <row r="43" spans="1:7" ht="13.5" customHeight="1">
      <c r="A43" s="886" t="s">
        <v>792</v>
      </c>
      <c r="B43" s="220" t="s">
        <v>2231</v>
      </c>
      <c r="C43" s="243">
        <f ca="1">ROUND(IF('数据-取费表'!B22&lt;=1,C39*F22*'数据-取费表'!B20/2,C39*(POWER((1+F22),'数据-取费表'!B20/2)-1)),0)</f>
        <v>74844</v>
      </c>
      <c r="D43" s="243"/>
      <c r="E43" s="243"/>
      <c r="F43" s="244"/>
      <c r="G43" s="3256"/>
    </row>
    <row r="44" spans="1:7" ht="13.5" customHeight="1">
      <c r="A44" s="886" t="s">
        <v>793</v>
      </c>
      <c r="B44" s="220" t="s">
        <v>2232</v>
      </c>
      <c r="C44" s="243">
        <f ca="1">ROUND(IF('数据-取费表'!B22&lt;=1,C40*F22*'数据-取费表'!B20/2,C40*(POWER((1+F22),'数据-取费表'!B20/2)-1)),4)</f>
        <v>8.0000000000000004E-4</v>
      </c>
      <c r="D44" s="243"/>
      <c r="E44" s="243"/>
      <c r="F44" s="244"/>
      <c r="G44" s="3257"/>
    </row>
    <row r="45" spans="1:7" s="219" customFormat="1" ht="13.5" customHeight="1">
      <c r="A45" s="260" t="s">
        <v>2233</v>
      </c>
      <c r="B45" s="249" t="s">
        <v>2199</v>
      </c>
      <c r="C45" s="250">
        <f ca="1">C46</f>
        <v>14184272</v>
      </c>
      <c r="D45" s="240">
        <f ca="1">C47</f>
        <v>3.8E-3</v>
      </c>
      <c r="E45" s="241" t="s">
        <v>2225</v>
      </c>
      <c r="F45" s="2535">
        <f ca="1">F27</f>
        <v>0.15</v>
      </c>
      <c r="G45" s="252" t="s">
        <v>2234</v>
      </c>
    </row>
    <row r="46" spans="1:7" s="219" customFormat="1" ht="13.5" customHeight="1">
      <c r="A46" s="886" t="s">
        <v>791</v>
      </c>
      <c r="B46" s="253" t="s">
        <v>2235</v>
      </c>
      <c r="C46" s="254">
        <f ca="1">ROUND((C33+C39)*F27,0)</f>
        <v>14184272</v>
      </c>
      <c r="D46" s="268"/>
      <c r="E46" s="241"/>
      <c r="F46" s="251"/>
      <c r="G46" s="252"/>
    </row>
    <row r="47" spans="1:7" s="219" customFormat="1" ht="13.5" customHeight="1">
      <c r="A47" s="886" t="s">
        <v>792</v>
      </c>
      <c r="B47" s="253" t="s">
        <v>2236</v>
      </c>
      <c r="C47" s="243">
        <f ca="1">ROUND(C40*F27,4)</f>
        <v>3.8E-3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121922019</v>
      </c>
      <c r="D49" s="237"/>
      <c r="E49" s="237"/>
      <c r="F49" s="269"/>
      <c r="G49" s="239" t="s">
        <v>2240</v>
      </c>
    </row>
    <row r="50" spans="1:7" s="263" customFormat="1">
      <c r="A50" s="260" t="s">
        <v>2241</v>
      </c>
      <c r="B50" s="215" t="s">
        <v>2242</v>
      </c>
      <c r="C50" s="237"/>
      <c r="D50" s="237"/>
      <c r="E50" s="237"/>
      <c r="F50" s="269">
        <f>IF('数据-取费表'!B24=0,'数据-取费表'!N16,1)</f>
        <v>0.85</v>
      </c>
      <c r="G50" s="252"/>
    </row>
    <row r="51" spans="1:7" ht="16.5" customHeight="1">
      <c r="A51" s="260" t="s">
        <v>2244</v>
      </c>
      <c r="B51" s="215" t="s">
        <v>2279</v>
      </c>
      <c r="C51" s="237">
        <f ca="1">ROUND(C49*F50,0)</f>
        <v>103633716</v>
      </c>
      <c r="D51" s="237"/>
      <c r="E51" s="237"/>
      <c r="F51" s="269"/>
      <c r="G51" s="239" t="s">
        <v>2246</v>
      </c>
    </row>
    <row r="52" spans="1:7" s="213" customFormat="1" ht="16.5" thickBot="1">
      <c r="A52" s="270" t="s">
        <v>2247</v>
      </c>
      <c r="B52" s="271"/>
      <c r="C52" s="272">
        <f ca="1">C31+C51</f>
        <v>114889727</v>
      </c>
      <c r="D52" s="271"/>
      <c r="E52" s="271"/>
      <c r="F52" s="271"/>
      <c r="G52" s="273"/>
    </row>
    <row r="55" spans="1:7" ht="15">
      <c r="B55" s="275" t="s">
        <v>2248</v>
      </c>
      <c r="C55" s="276"/>
    </row>
    <row r="56" spans="1:7">
      <c r="B56" s="278" t="s">
        <v>1478</v>
      </c>
      <c r="C56" s="280">
        <f ca="1">1-C57</f>
        <v>9.7999999999999976E-2</v>
      </c>
    </row>
    <row r="57" spans="1:7">
      <c r="B57" s="278" t="s">
        <v>1479</v>
      </c>
      <c r="C57" s="279">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35"/>
      <c r="F1" s="3035"/>
      <c r="G1" s="2898"/>
      <c r="H1" s="3035"/>
      <c r="I1" s="3035"/>
      <c r="J1" s="3035"/>
      <c r="K1" s="3036">
        <f>MATCH(C1,'数据-取费表'!A6:A16,0)+5</f>
        <v>8</v>
      </c>
    </row>
    <row r="2" spans="1:33" ht="18" customHeight="1">
      <c r="A2" s="206" t="s">
        <v>2148</v>
      </c>
      <c r="B2" s="209">
        <f ca="1">C32</f>
        <v>0</v>
      </c>
      <c r="C2" s="281" t="s">
        <v>2281</v>
      </c>
      <c r="D2" s="281"/>
      <c r="E2" s="3035"/>
      <c r="F2" s="3035"/>
      <c r="G2" s="3035"/>
      <c r="H2" s="3035"/>
      <c r="I2" s="3035"/>
      <c r="J2" s="3035"/>
      <c r="K2" s="3035"/>
    </row>
    <row r="3" spans="1:33" ht="18" customHeight="1" thickBot="1">
      <c r="A3" s="208" t="s">
        <v>2150</v>
      </c>
      <c r="B3" s="209">
        <f ca="1">ROUND(B2*10000/IF(C1="",'数据-汇总表'!E3,INDIRECT("'数据-取费表'!K"&amp;$K$1)),0)</f>
        <v>0</v>
      </c>
      <c r="C3" s="281" t="s">
        <v>2282</v>
      </c>
      <c r="D3" s="281"/>
      <c r="E3" s="3035"/>
      <c r="F3" s="3035"/>
      <c r="G3" s="3035"/>
      <c r="H3" s="3035"/>
      <c r="I3" s="3035"/>
      <c r="J3" s="3035"/>
      <c r="K3" s="3035"/>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4" t="s">
        <v>2286</v>
      </c>
      <c r="D5" s="2044" t="s">
        <v>2287</v>
      </c>
      <c r="E5" s="2044" t="s">
        <v>2288</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4"/>
      <c r="F12" s="911">
        <f>'数据-取费表'!B33</f>
        <v>0.05</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4"/>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27173.91</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27173.91</v>
      </c>
      <c r="E17" s="24">
        <f>'数据-取费表'!B32</f>
        <v>0</v>
      </c>
      <c r="F17" s="913"/>
      <c r="G17" s="135"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0</v>
      </c>
      <c r="D18" s="953"/>
      <c r="E18" s="24"/>
      <c r="F18" s="911"/>
      <c r="G18" s="2046"/>
      <c r="H18" s="1347"/>
      <c r="I18" s="2047"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105</v>
      </c>
      <c r="F19" s="911"/>
      <c r="G19" s="15"/>
      <c r="H19" s="1349"/>
      <c r="I19" s="916"/>
      <c r="J19" s="916"/>
      <c r="K19" s="917"/>
    </row>
    <row r="20" spans="1:33" s="910" customFormat="1" ht="13.5" customHeight="1">
      <c r="A20" s="906" t="s">
        <v>806</v>
      </c>
      <c r="B20" s="907" t="s">
        <v>2316</v>
      </c>
      <c r="C20" s="24">
        <f ca="1">ROUND(D20*E20/10000,0)</f>
        <v>285</v>
      </c>
      <c r="D20" s="953">
        <f ca="1">IF(C1="",'数据-汇总表'!E6,IF(INDIRECT("'数据-取费表'!c"&amp;$K$1)="住宅",INDIRECT("'数据-取费表'!s"&amp;$K$1),INDIRECT("'数据-取费表'!k"&amp;$K$1)+INDIRECT("'数据-取费表'!s"&amp;$K$1)))</f>
        <v>27173.91</v>
      </c>
      <c r="E20" s="24">
        <f>'数据-取费表'!B28</f>
        <v>105</v>
      </c>
      <c r="F20" s="911"/>
      <c r="G20" s="15"/>
      <c r="H20" s="916"/>
      <c r="I20" s="916"/>
      <c r="J20" s="916"/>
      <c r="K20" s="917"/>
    </row>
    <row r="21" spans="1:33" s="910" customFormat="1" ht="13.5" customHeight="1">
      <c r="A21" s="896" t="s">
        <v>802</v>
      </c>
      <c r="B21" s="920" t="s">
        <v>2317</v>
      </c>
      <c r="C21" s="921">
        <f ca="1">C16+C17+C18</f>
        <v>0</v>
      </c>
      <c r="D21" s="922"/>
      <c r="E21" s="286"/>
      <c r="F21" s="286"/>
      <c r="G21" s="135" t="s">
        <v>2318</v>
      </c>
      <c r="H21" s="914"/>
      <c r="I21" s="914"/>
      <c r="J21" s="914"/>
      <c r="K21" s="915"/>
    </row>
    <row r="22" spans="1:33" s="910" customFormat="1" ht="13.5" customHeight="1">
      <c r="A22" s="896" t="s">
        <v>2290</v>
      </c>
      <c r="B22" s="920" t="s">
        <v>2319</v>
      </c>
      <c r="C22" s="921">
        <f ca="1">ROUND(C21*F22,0)</f>
        <v>0</v>
      </c>
      <c r="D22" s="286"/>
      <c r="E22" s="286"/>
      <c r="F22" s="923">
        <f>'数据-取费表'!B37</f>
        <v>2.5000000000000001E-2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2.5000000000000001E-2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4"/>
      <c r="I27" s="914"/>
      <c r="J27" s="914"/>
      <c r="K27" s="915"/>
    </row>
    <row r="28" spans="1:33" s="294" customFormat="1" ht="13.5" customHeight="1">
      <c r="A28" s="896" t="s">
        <v>2330</v>
      </c>
      <c r="B28" s="2049" t="s">
        <v>2331</v>
      </c>
      <c r="C28" s="292">
        <f ca="1">C30</f>
        <v>0</v>
      </c>
      <c r="D28" s="285">
        <f ca="1">C29</f>
        <v>0</v>
      </c>
      <c r="E28" s="287" t="s">
        <v>15</v>
      </c>
      <c r="F28" s="293">
        <f ca="1">IF(C1="",'数据-取费表'!Q16,INDIRECT("'数据-取费表'!q"&amp;$K$1))</f>
        <v>0.15</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0</v>
      </c>
      <c r="D30" s="289"/>
      <c r="E30" s="290"/>
      <c r="F30" s="295"/>
      <c r="G30" s="135"/>
      <c r="H30" s="914"/>
      <c r="I30" s="914"/>
      <c r="J30" s="914"/>
      <c r="K30" s="915"/>
    </row>
    <row r="31" spans="1:33" s="910" customFormat="1" ht="13.5" customHeight="1" thickBot="1">
      <c r="A31" s="2050"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0"/>
      <c r="C1" s="1561"/>
      <c r="D1" s="1544"/>
      <c r="E1" s="1545" t="s">
        <v>1352</v>
      </c>
      <c r="F1" s="1191">
        <f ca="1">J53</f>
        <v>0</v>
      </c>
      <c r="G1" s="1560">
        <f>MATCH(C1,'数据-取费表'!A6:A16,0)+5</f>
        <v>8</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t="e">
        <f ca="1">C40+J29+L46</f>
        <v>#DIV/0!</v>
      </c>
      <c r="C2" s="1569" t="s">
        <v>1481</v>
      </c>
      <c r="D2" s="1569"/>
      <c r="E2" s="1570"/>
      <c r="F2" s="1571"/>
      <c r="G2" s="2933"/>
      <c r="H2" s="2922"/>
      <c r="I2" s="2922"/>
      <c r="J2" s="2922"/>
      <c r="K2" s="2923"/>
      <c r="L2" s="2922"/>
      <c r="M2" s="2922"/>
    </row>
    <row r="3" spans="1:37" ht="18" customHeight="1" thickBot="1">
      <c r="A3" s="1572" t="s">
        <v>1482</v>
      </c>
      <c r="B3" s="1573">
        <f ca="1">IF(ISERROR(B2*10000/F43),0,ROUND(B2*10000/F43,0))</f>
        <v>0</v>
      </c>
      <c r="C3" s="1569" t="s">
        <v>1483</v>
      </c>
      <c r="D3" s="1569"/>
      <c r="E3" s="1570"/>
      <c r="F3" s="1571"/>
      <c r="G3" s="2933"/>
      <c r="H3" s="690"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0">
        <f ca="1">C6+C10+C12</f>
        <v>0</v>
      </c>
      <c r="D5" s="1546" t="s">
        <v>1367</v>
      </c>
      <c r="E5" s="1201"/>
      <c r="F5" s="1202"/>
      <c r="G5" s="1566"/>
      <c r="H5" s="304">
        <v>1</v>
      </c>
      <c r="I5" s="305" t="s">
        <v>1366</v>
      </c>
      <c r="J5" s="1200">
        <f ca="1">J6+J10+J12</f>
        <v>0</v>
      </c>
      <c r="K5" s="1546" t="s">
        <v>1367</v>
      </c>
      <c r="L5" s="1201"/>
      <c r="M5" s="1202"/>
    </row>
    <row r="6" spans="1:37" ht="18" customHeight="1">
      <c r="A6" s="1199" t="s">
        <v>1003</v>
      </c>
      <c r="B6" s="3260" t="s">
        <v>1368</v>
      </c>
      <c r="C6" s="1204">
        <f ca="1">ROUND(F6*F8*F7*(1-F9)/10000,0)</f>
        <v>0</v>
      </c>
      <c r="D6" s="159" t="s">
        <v>2850</v>
      </c>
      <c r="E6" s="307" t="s">
        <v>1370</v>
      </c>
      <c r="F6" s="308">
        <f ca="1">INDIRECT("'数据-取费表'!u"&amp;$G$1)</f>
        <v>0</v>
      </c>
      <c r="G6" s="1566"/>
      <c r="H6" s="1199" t="s">
        <v>1003</v>
      </c>
      <c r="I6" s="3260" t="s">
        <v>1368</v>
      </c>
      <c r="J6" s="306">
        <f ca="1">ROUND(M6*M8*M7*(1-M9)/10000,0)</f>
        <v>0</v>
      </c>
      <c r="K6" s="159" t="s">
        <v>2849</v>
      </c>
      <c r="L6" s="307" t="s">
        <v>1370</v>
      </c>
      <c r="M6" s="308">
        <f ca="1">INDIRECT("'数据-取费表'!z"&amp;$G$1)</f>
        <v>0</v>
      </c>
    </row>
    <row r="7" spans="1:37" ht="18" customHeight="1">
      <c r="A7" s="1203"/>
      <c r="B7" s="3261"/>
      <c r="C7" s="1205"/>
      <c r="D7" s="312"/>
      <c r="E7" s="1206" t="s">
        <v>1371</v>
      </c>
      <c r="F7" s="308">
        <f ca="1">IF(INDIRECT("'数据-取费表'!ah"&amp;$G$1)="",INDIRECT("'数据-取费表'!k"&amp;$G$1),INDIRECT("'数据-取费表'!ah"&amp;$G$1))</f>
        <v>0</v>
      </c>
      <c r="G7" s="1566"/>
      <c r="H7" s="309"/>
      <c r="I7" s="3261"/>
      <c r="J7" s="311"/>
      <c r="K7" s="312"/>
      <c r="L7" s="307" t="s">
        <v>1371</v>
      </c>
      <c r="M7" s="308">
        <f ca="1">F7</f>
        <v>0</v>
      </c>
    </row>
    <row r="8" spans="1:37" ht="18" customHeight="1">
      <c r="A8" s="309"/>
      <c r="B8" s="3261"/>
      <c r="C8" s="311"/>
      <c r="D8" s="312"/>
      <c r="E8" s="307" t="s">
        <v>1372</v>
      </c>
      <c r="F8" s="308">
        <f ca="1">INDIRECT("'数据-取费表'!ai"&amp;$G$1)</f>
        <v>0</v>
      </c>
      <c r="G8" s="1566"/>
      <c r="H8" s="309"/>
      <c r="I8" s="3261"/>
      <c r="J8" s="311"/>
      <c r="K8" s="312"/>
      <c r="L8" s="307" t="s">
        <v>1372</v>
      </c>
      <c r="M8" s="308">
        <f ca="1">INDIRECT("'数据-取费表'!ai"&amp;$G$1)</f>
        <v>0</v>
      </c>
    </row>
    <row r="9" spans="1:37" ht="18" customHeight="1">
      <c r="A9" s="309"/>
      <c r="B9" s="3262"/>
      <c r="C9" s="311"/>
      <c r="D9" s="312"/>
      <c r="E9" s="307" t="s">
        <v>1373</v>
      </c>
      <c r="F9" s="317">
        <f ca="1">INDIRECT("'数据-取费表'!w"&amp;$G$1)</f>
        <v>0</v>
      </c>
      <c r="G9" s="1566"/>
      <c r="H9" s="309"/>
      <c r="I9" s="3262"/>
      <c r="J9" s="311"/>
      <c r="K9" s="312"/>
      <c r="L9" s="318" t="s">
        <v>1373</v>
      </c>
      <c r="M9" s="319">
        <f ca="1">INDIRECT("'数据-取费表'!ab"&amp;$G$1)</f>
        <v>0</v>
      </c>
    </row>
    <row r="10" spans="1:37" ht="18" customHeight="1">
      <c r="A10" s="1199" t="s">
        <v>1007</v>
      </c>
      <c r="B10" s="1547" t="s">
        <v>1374</v>
      </c>
      <c r="C10" s="321">
        <f ca="1">ROUND(IF(F10="押一",C6/12*F11,IF(F10="押二",C6/12*2*F11,IF(F10="押三",C6/12*3*F11,C11*F11))),0)</f>
        <v>0</v>
      </c>
      <c r="D10" s="1548" t="s">
        <v>2858</v>
      </c>
      <c r="E10" s="318" t="s">
        <v>1375</v>
      </c>
      <c r="F10" s="1274"/>
      <c r="G10" s="1566"/>
      <c r="H10" s="1199" t="s">
        <v>1007</v>
      </c>
      <c r="I10" s="1547" t="s">
        <v>1374</v>
      </c>
      <c r="J10" s="306">
        <f ca="1">ROUND(IF(M10="押一",J6/12*M11,IF(M10="押二",J6/12*2*M11,IF(M10="押三",J6/12*3*M11,J11*M11))),0)</f>
        <v>0</v>
      </c>
      <c r="K10" s="1548" t="s">
        <v>2857</v>
      </c>
      <c r="L10" s="318" t="s">
        <v>1375</v>
      </c>
      <c r="M10" s="1274" t="s">
        <v>1376</v>
      </c>
    </row>
    <row r="11" spans="1:37" ht="18" customHeight="1">
      <c r="A11" s="313"/>
      <c r="B11" s="1549" t="s">
        <v>1353</v>
      </c>
      <c r="C11" s="1088"/>
      <c r="D11" s="1550"/>
      <c r="E11" s="318" t="s">
        <v>1377</v>
      </c>
      <c r="F11" s="319">
        <f ca="1">'数据-取费表'!B39</f>
        <v>1.4999999999999999E-2</v>
      </c>
      <c r="G11" s="1566"/>
      <c r="H11" s="1207"/>
      <c r="I11" s="1549" t="s">
        <v>1353</v>
      </c>
      <c r="J11" s="1088"/>
      <c r="K11" s="691"/>
      <c r="L11" s="318"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7" t="s">
        <v>1382</v>
      </c>
      <c r="C14" s="323">
        <f ca="1">INDIRECT("'数据-取费表'!m"&amp;$G$1)+INDIRECT("'数据-取费表'!t"&amp;$G$1)</f>
        <v>0</v>
      </c>
      <c r="D14" s="1527" t="s">
        <v>1383</v>
      </c>
      <c r="E14" s="1524"/>
      <c r="F14" s="324"/>
      <c r="G14" s="1566"/>
      <c r="H14" s="1111" t="s">
        <v>1003</v>
      </c>
      <c r="I14" s="307" t="s">
        <v>1384</v>
      </c>
      <c r="J14" s="24">
        <f ca="1">C29</f>
        <v>0</v>
      </c>
      <c r="K14" s="15"/>
      <c r="L14" s="914"/>
      <c r="M14" s="915"/>
    </row>
    <row r="15" spans="1:37" s="1579" customFormat="1" ht="18" customHeight="1" thickBot="1">
      <c r="A15" s="1111" t="s">
        <v>1004</v>
      </c>
      <c r="B15" s="307" t="s">
        <v>1385</v>
      </c>
      <c r="C15" s="24">
        <f ca="1">ROUND(C14*F15,0)</f>
        <v>0</v>
      </c>
      <c r="D15" s="325" t="s">
        <v>1386</v>
      </c>
      <c r="E15" s="325" t="s">
        <v>1387</v>
      </c>
      <c r="F15" s="326">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2"/>
    </row>
    <row r="17" spans="1:37" s="1579" customFormat="1" ht="18" customHeight="1">
      <c r="A17" s="1111" t="s">
        <v>1355</v>
      </c>
      <c r="B17" s="307" t="s">
        <v>1391</v>
      </c>
      <c r="C17" s="24">
        <f ca="1">ROUND(F17*(F43+INDIRECT("'数据-取费表'!S"&amp;$G$1))/10000,0)</f>
        <v>0</v>
      </c>
      <c r="D17" s="307" t="s">
        <v>1392</v>
      </c>
      <c r="E17" s="307" t="s">
        <v>1393</v>
      </c>
      <c r="F17" s="26">
        <f>'数据-取费表'!B35</f>
        <v>200</v>
      </c>
      <c r="G17" s="1578"/>
      <c r="H17" s="1111"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7" t="s">
        <v>1397</v>
      </c>
      <c r="C18" s="24">
        <f ca="1">ROUND(C14*F18,0)</f>
        <v>0</v>
      </c>
      <c r="D18" s="307" t="s">
        <v>1386</v>
      </c>
      <c r="E18" s="307" t="s">
        <v>1387</v>
      </c>
      <c r="F18" s="327">
        <f>'数据-取费表'!B36</f>
        <v>1.4999999999999999E-2</v>
      </c>
      <c r="G18" s="1578"/>
      <c r="H18" s="1111" t="s">
        <v>1002</v>
      </c>
      <c r="I18" s="307" t="s">
        <v>1398</v>
      </c>
      <c r="J18" s="24">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7" t="s">
        <v>1400</v>
      </c>
      <c r="C19" s="24">
        <f ca="1">SUM(C14:C18)</f>
        <v>0</v>
      </c>
      <c r="D19" s="135" t="s">
        <v>1401</v>
      </c>
      <c r="E19" s="1542"/>
      <c r="F19" s="26"/>
      <c r="G19" s="1566"/>
      <c r="H19" s="1111" t="s">
        <v>1004</v>
      </c>
      <c r="I19" s="307" t="s">
        <v>1402</v>
      </c>
      <c r="J19" s="24">
        <f ca="1">IF(K19="按租金收入计税",ROUND(J6*M19/(1+'数据-取费表'!C42),2),ROUND(C29*M19*0.7,2))</f>
        <v>0</v>
      </c>
      <c r="K19" s="1552" t="s">
        <v>1403</v>
      </c>
      <c r="L19" s="307" t="s">
        <v>1387</v>
      </c>
      <c r="M19" s="327">
        <f>IF(K19="按租金收入计税",'数据-取费表'!B51,'数据-取费表'!B50)</f>
        <v>1.2E-2</v>
      </c>
    </row>
    <row r="20" spans="1:37" s="1579" customFormat="1" ht="18" customHeight="1">
      <c r="A20" s="1111" t="s">
        <v>1007</v>
      </c>
      <c r="B20" s="307" t="s">
        <v>1404</v>
      </c>
      <c r="C20" s="24">
        <f ca="1">ROUND(C19*F20,0)</f>
        <v>0</v>
      </c>
      <c r="D20" s="328" t="s">
        <v>1405</v>
      </c>
      <c r="E20" s="307" t="s">
        <v>1387</v>
      </c>
      <c r="F20" s="327">
        <f>'数据-取费表'!B37</f>
        <v>2.5000000000000001E-2</v>
      </c>
      <c r="G20" s="1578"/>
      <c r="H20" s="1111" t="s">
        <v>1354</v>
      </c>
      <c r="I20" s="159" t="s">
        <v>1406</v>
      </c>
      <c r="J20" s="25">
        <f ca="1">ROUND(M20*M21/10000,2)</f>
        <v>0</v>
      </c>
      <c r="K20" s="329" t="s">
        <v>1407</v>
      </c>
      <c r="L20" s="307" t="s">
        <v>1408</v>
      </c>
      <c r="M20" s="330">
        <f>'数据-取费表'!B52</f>
        <v>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7" t="s">
        <v>1409</v>
      </c>
      <c r="C21" s="24" t="s">
        <v>18</v>
      </c>
      <c r="D21" s="328" t="s">
        <v>1410</v>
      </c>
      <c r="E21" s="307" t="s">
        <v>1411</v>
      </c>
      <c r="F21" s="327">
        <f>'数据-取费表'!B38</f>
        <v>2.5000000000000001E-2</v>
      </c>
      <c r="G21" s="1578"/>
      <c r="H21" s="331"/>
      <c r="I21" s="316"/>
      <c r="J21" s="29"/>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2"/>
      <c r="F22" s="26"/>
      <c r="G22" s="1566"/>
      <c r="H22" s="1111" t="s">
        <v>1007</v>
      </c>
      <c r="I22" s="307" t="s">
        <v>1414</v>
      </c>
      <c r="J22" s="24">
        <f ca="1">ROUND(J14*M22,1)</f>
        <v>0</v>
      </c>
      <c r="K22" s="1526" t="s">
        <v>1415</v>
      </c>
      <c r="L22" s="307" t="s">
        <v>1387</v>
      </c>
      <c r="M22" s="333">
        <f ca="1">INDIRECT("'数据-取费表'!Ak"&amp;$G$1)</f>
        <v>0</v>
      </c>
    </row>
    <row r="23" spans="1:37" s="1579"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1.5</v>
      </c>
      <c r="G23" s="1578"/>
      <c r="H23" s="1111" t="s">
        <v>1043</v>
      </c>
      <c r="I23" s="307" t="s">
        <v>1418</v>
      </c>
      <c r="J23" s="24">
        <f ca="1">ROUND(J13*M23,1)</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7" t="s">
        <v>1422</v>
      </c>
      <c r="C24" s="24">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ROUND(J5*M24,1)</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7" t="s">
        <v>1426</v>
      </c>
      <c r="C25" s="24"/>
      <c r="D25" s="135" t="s">
        <v>1427</v>
      </c>
      <c r="E25" s="1542"/>
      <c r="F25" s="26"/>
      <c r="G25" s="1566"/>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1"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2"/>
      <c r="G30" s="1566"/>
      <c r="H30" s="2924"/>
      <c r="I30" s="1580"/>
      <c r="J30" s="1581"/>
      <c r="K30" s="2699"/>
      <c r="L30" s="2925"/>
      <c r="M30" s="2926"/>
    </row>
    <row r="31" spans="1:37" ht="18" customHeight="1">
      <c r="A31" s="1111"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3048</v>
      </c>
      <c r="I31" s="1580"/>
      <c r="J31" s="1581"/>
      <c r="K31" s="2699"/>
      <c r="L31" s="2925"/>
      <c r="M31" s="2926"/>
    </row>
    <row r="32" spans="1:37" ht="18" customHeight="1">
      <c r="A32" s="1111" t="s">
        <v>1002</v>
      </c>
      <c r="B32" s="307" t="s">
        <v>1398</v>
      </c>
      <c r="C32" s="24">
        <f ca="1">IF(项目基本情况!B11="自然人","——",ROUND(C6*F32/(1+'数据-取费表'!C42),2))</f>
        <v>0</v>
      </c>
      <c r="D32" s="1526" t="s">
        <v>1399</v>
      </c>
      <c r="E32" s="307" t="s">
        <v>1387</v>
      </c>
      <c r="F32" s="336">
        <f>'数据-取费表'!B41</f>
        <v>5.6000000000000001E-2</v>
      </c>
      <c r="G32" s="1566"/>
      <c r="H32" s="2924"/>
      <c r="I32" s="1580"/>
      <c r="J32" s="1581"/>
      <c r="K32" s="2699"/>
      <c r="L32" s="2925"/>
      <c r="M32" s="2926"/>
    </row>
    <row r="33" spans="1:18" ht="18" customHeight="1">
      <c r="A33" s="1111" t="s">
        <v>1004</v>
      </c>
      <c r="B33" s="307" t="s">
        <v>1402</v>
      </c>
      <c r="C33" s="24">
        <f ca="1">IF(项目基本情况!B11="自然人","——",IF(D33="按租金收入计税",ROUND(C6*F33/(1+'数据-取费表'!C42),2),IF(D33="按房产原值计税",ROUND(C29*F33*0.7,2),INDIRECT("'数据-取费表'!Aj"&amp;$G$1))))</f>
        <v>0</v>
      </c>
      <c r="D33" s="1552" t="s">
        <v>1403</v>
      </c>
      <c r="E33" s="307" t="s">
        <v>1387</v>
      </c>
      <c r="F33" s="327">
        <f>IF(D33="按票据","——",IF(D33="按租金收入计税",'数据-取费表'!B51,'数据-取费表'!B50))</f>
        <v>1.2E-2</v>
      </c>
      <c r="G33" s="1566"/>
      <c r="H33" s="2927"/>
      <c r="I33" s="1580"/>
      <c r="J33" s="1581"/>
      <c r="K33" s="2928"/>
      <c r="L33" s="2927"/>
      <c r="M33" s="2927"/>
    </row>
    <row r="34" spans="1:18" ht="18" customHeight="1">
      <c r="A34" s="1199" t="s">
        <v>1354</v>
      </c>
      <c r="B34" s="159" t="s">
        <v>1406</v>
      </c>
      <c r="C34" s="25">
        <f ca="1">IF(项目基本情况!B11="自然人","——",ROUND(F34*F35/10000,2))</f>
        <v>0</v>
      </c>
      <c r="D34" s="329" t="s">
        <v>1407</v>
      </c>
      <c r="E34" s="307" t="s">
        <v>1408</v>
      </c>
      <c r="F34" s="330">
        <f>'数据-取费表'!B52</f>
        <v>4</v>
      </c>
      <c r="G34" s="1566"/>
      <c r="H34" s="2924"/>
      <c r="I34" s="1580"/>
      <c r="J34" s="1581"/>
      <c r="K34" s="2929"/>
      <c r="L34" s="2930"/>
      <c r="M34" s="2930"/>
    </row>
    <row r="35" spans="1:18" ht="18" customHeight="1">
      <c r="A35" s="1261"/>
      <c r="B35" s="1259"/>
      <c r="C35" s="29"/>
      <c r="D35" s="332"/>
      <c r="E35" s="307" t="s">
        <v>1412</v>
      </c>
      <c r="F35" s="308">
        <f ca="1">INDIRECT("'数据-取费表'!r"&amp;$G$1)</f>
        <v>0</v>
      </c>
      <c r="G35" s="1566"/>
      <c r="H35" s="2924"/>
      <c r="I35" s="1580"/>
      <c r="J35" s="1581"/>
      <c r="K35" s="2928"/>
      <c r="L35" s="2927"/>
      <c r="M35" s="2927"/>
    </row>
    <row r="36" spans="1:18" ht="18" customHeight="1">
      <c r="A36" s="1260" t="s">
        <v>1007</v>
      </c>
      <c r="B36" s="307" t="s">
        <v>1414</v>
      </c>
      <c r="C36" s="24">
        <f ca="1">ROUND(C29*F36,1)</f>
        <v>0</v>
      </c>
      <c r="D36" s="1526" t="s">
        <v>1447</v>
      </c>
      <c r="E36" s="307" t="s">
        <v>1387</v>
      </c>
      <c r="F36" s="333">
        <f ca="1">INDIRECT("'数据-取费表'!Ak"&amp;$G$1)</f>
        <v>0</v>
      </c>
      <c r="G36" s="1566"/>
      <c r="H36" s="2927"/>
      <c r="I36" s="1580"/>
      <c r="J36" s="1581"/>
      <c r="K36" s="2768"/>
      <c r="L36" s="2927"/>
      <c r="M36" s="2927"/>
    </row>
    <row r="37" spans="1:18" ht="18" customHeight="1">
      <c r="A37" s="1111" t="s">
        <v>1043</v>
      </c>
      <c r="B37" s="307" t="s">
        <v>1418</v>
      </c>
      <c r="C37" s="24">
        <f ca="1">ROUND(C13*F37,1)</f>
        <v>0</v>
      </c>
      <c r="D37" s="1526" t="s">
        <v>1419</v>
      </c>
      <c r="E37" s="307" t="s">
        <v>1420</v>
      </c>
      <c r="F37" s="335">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5">
        <f ca="1">C5-C30</f>
        <v>0</v>
      </c>
      <c r="D39" s="1253" t="s">
        <v>1449</v>
      </c>
      <c r="E39" s="1254"/>
      <c r="F39" s="1255"/>
      <c r="G39" s="1566"/>
      <c r="H39" s="2927"/>
      <c r="I39" s="1580"/>
      <c r="J39" s="1581"/>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8"/>
      <c r="L41" s="1351"/>
      <c r="M41" s="1351"/>
    </row>
    <row r="42" spans="1:18" ht="18" customHeight="1">
      <c r="A42" s="313"/>
      <c r="B42" s="314"/>
      <c r="C42" s="315"/>
      <c r="D42" s="332"/>
      <c r="E42" s="307" t="s">
        <v>1442</v>
      </c>
      <c r="F42" s="317">
        <f ca="1">INDIRECT("'数据-取费表'!v"&amp;$G$1)</f>
        <v>0</v>
      </c>
      <c r="G42" s="1566"/>
      <c r="H42" s="1351"/>
      <c r="I42" s="1580"/>
      <c r="J42" s="1581"/>
      <c r="K42" s="2768"/>
      <c r="L42" s="1351"/>
      <c r="M42" s="1351"/>
    </row>
    <row r="43" spans="1:18" ht="18" customHeight="1" thickBot="1">
      <c r="A43" s="339" t="s">
        <v>1001</v>
      </c>
      <c r="B43" s="340" t="s">
        <v>1452</v>
      </c>
      <c r="C43" s="341" t="e">
        <f ca="1">ROUND(C40*10000/F43,0)</f>
        <v>#DIV/0!</v>
      </c>
      <c r="D43" s="342" t="s">
        <v>1453</v>
      </c>
      <c r="E43" s="343" t="s">
        <v>1454</v>
      </c>
      <c r="F43" s="344">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2"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ROUND(F49*F51*F50*(1-F52)/10000,0)</f>
        <v>0</v>
      </c>
      <c r="D49" s="1184" t="s">
        <v>2851</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276"/>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24.75" thickBot="1">
      <c r="A53" s="1312" t="s">
        <v>1105</v>
      </c>
      <c r="B53" s="1555" t="s">
        <v>1374</v>
      </c>
      <c r="C53" s="321">
        <f ca="1">ROUND(IF(F53="押一",C49/12*F11,IF(F53="押二",C49/12*2*F11,IF(F53="押三",C49/12*3*F11,C54*F11))),0)</f>
        <v>0</v>
      </c>
      <c r="D53" s="1548" t="s">
        <v>2857</v>
      </c>
      <c r="E53" s="318" t="s">
        <v>1375</v>
      </c>
      <c r="F53" s="1274"/>
      <c r="I53" s="1621" t="s">
        <v>1512</v>
      </c>
      <c r="J53" s="2384">
        <f ca="1">IF(M47="住宅",IF(D1="——",MAX(J51,L48),MAX(J51,L48-'数据-取费表'!B24)),IF(D1="——",MIN(J51,L48),MIN(J51,L48-'数据-取费表'!B24)))</f>
        <v>0</v>
      </c>
      <c r="K53" s="3258" t="s">
        <v>1513</v>
      </c>
      <c r="L53" s="3259"/>
      <c r="O53" s="1600" t="s">
        <v>1014</v>
      </c>
      <c r="P53" s="1601" t="s">
        <v>1514</v>
      </c>
      <c r="Q53" s="1602" t="e">
        <f ca="1">Q47+Q48</f>
        <v>#DIV/0!</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6">
        <v>2</v>
      </c>
      <c r="B56" s="1087" t="s">
        <v>1379</v>
      </c>
      <c r="C56" s="237">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79" t="s">
        <v>1443</v>
      </c>
      <c r="C57" s="243">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0" t="s">
        <v>998</v>
      </c>
      <c r="B58" s="1087" t="s">
        <v>1389</v>
      </c>
      <c r="C58" s="321">
        <f ca="1">ROUND(C59+C64+C65+C66,0)</f>
        <v>0</v>
      </c>
      <c r="D58" s="1089" t="s">
        <v>1390</v>
      </c>
      <c r="E58" s="1090"/>
      <c r="F58" s="1091"/>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0</v>
      </c>
      <c r="D61" s="1552" t="s">
        <v>1403</v>
      </c>
      <c r="E61" s="1079"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0</v>
      </c>
      <c r="D62" s="1094" t="s">
        <v>1462</v>
      </c>
      <c r="E62" s="1079" t="s">
        <v>1463</v>
      </c>
      <c r="F62" s="330">
        <f t="shared" si="0"/>
        <v>4</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5"/>
      <c r="C63" s="29"/>
      <c r="D63" s="1095"/>
      <c r="E63" s="1079"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0</v>
      </c>
      <c r="D64" s="1093" t="s">
        <v>1467</v>
      </c>
      <c r="E64" s="1079"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0</v>
      </c>
      <c r="D65" s="1093" t="s">
        <v>1419</v>
      </c>
      <c r="E65" s="1079"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ROUND(C48*F66,1)</f>
        <v>0</v>
      </c>
      <c r="D66" s="1093" t="s">
        <v>1470</v>
      </c>
      <c r="E66" s="1079" t="s">
        <v>1387</v>
      </c>
      <c r="F66" s="317">
        <f t="shared" ca="1" si="0"/>
        <v>0</v>
      </c>
      <c r="O66" s="1600" t="s">
        <v>1009</v>
      </c>
      <c r="P66" s="1601" t="s">
        <v>1523</v>
      </c>
      <c r="Q66" s="1602" t="e">
        <f ca="1">L60</f>
        <v>#DIV/0!</v>
      </c>
      <c r="R66" s="1602" t="s">
        <v>1546</v>
      </c>
    </row>
    <row r="67" spans="1:18" s="1566" customFormat="1" ht="16.5" thickBot="1">
      <c r="A67" s="1086" t="s">
        <v>999</v>
      </c>
      <c r="B67" s="1096" t="s">
        <v>1428</v>
      </c>
      <c r="C67" s="321">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6" t="e">
        <f ca="1">ROUND(C67*(1-((1+F70)/(1+F68))^F69)/(F68-F70),0)</f>
        <v>#DIV/0!</v>
      </c>
      <c r="D68" s="1094" t="s">
        <v>1434</v>
      </c>
      <c r="E68" s="1079" t="s">
        <v>1435</v>
      </c>
      <c r="F68" s="317">
        <f ca="1">F40</f>
        <v>0</v>
      </c>
      <c r="O68" s="1610" t="s">
        <v>1011</v>
      </c>
      <c r="P68" s="1649" t="s">
        <v>1548</v>
      </c>
      <c r="Q68" s="1602">
        <f ca="1">ROUND(Q69-Q70*Q71,0)</f>
        <v>0</v>
      </c>
      <c r="R68" s="1602" t="s">
        <v>1019</v>
      </c>
    </row>
    <row r="69" spans="1:18" s="1566" customFormat="1" ht="13.5" thickBot="1">
      <c r="A69" s="1080"/>
      <c r="B69" s="1081"/>
      <c r="C69" s="311"/>
      <c r="D69" s="1099" t="s">
        <v>1438</v>
      </c>
      <c r="E69" s="1079" t="s">
        <v>1439</v>
      </c>
      <c r="F69" s="338">
        <f ca="1">F41</f>
        <v>0</v>
      </c>
      <c r="O69" s="1610" t="s">
        <v>1016</v>
      </c>
      <c r="P69" s="1649" t="s">
        <v>1549</v>
      </c>
      <c r="Q69" s="1602">
        <f ca="1">C39</f>
        <v>0</v>
      </c>
      <c r="R69" s="1602" t="s">
        <v>1494</v>
      </c>
    </row>
    <row r="70" spans="1:18" s="1566" customFormat="1" ht="13.5" thickBot="1">
      <c r="A70" s="1083"/>
      <c r="B70" s="1084"/>
      <c r="C70" s="315"/>
      <c r="D70" s="1095"/>
      <c r="E70" s="1079" t="s">
        <v>1442</v>
      </c>
      <c r="F70" s="1183"/>
      <c r="O70" s="1610" t="s">
        <v>1017</v>
      </c>
      <c r="P70" s="1649" t="s">
        <v>1550</v>
      </c>
      <c r="Q70" s="1602">
        <f ca="1">C13</f>
        <v>0</v>
      </c>
      <c r="R70" s="1602" t="s">
        <v>1494</v>
      </c>
    </row>
    <row r="71" spans="1:18" s="1566" customFormat="1" ht="13.5" thickBot="1">
      <c r="A71" s="1100" t="s">
        <v>1001</v>
      </c>
      <c r="B71" s="1101" t="s">
        <v>1452</v>
      </c>
      <c r="C71" s="341" t="e">
        <f ca="1">ROUND(C68*10000/F71,0)</f>
        <v>#DIV/0!</v>
      </c>
      <c r="D71" s="1102" t="s">
        <v>1453</v>
      </c>
      <c r="E71" s="1103" t="s">
        <v>1454</v>
      </c>
      <c r="F71" s="344">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232</v>
      </c>
      <c r="C2" s="2056" t="s">
        <v>2340</v>
      </c>
      <c r="D2" s="2057" t="s">
        <v>2341</v>
      </c>
      <c r="E2" s="2831">
        <f>SUM(E6:E13)</f>
        <v>456.22</v>
      </c>
      <c r="F2" s="2934"/>
      <c r="G2" s="1672"/>
      <c r="H2" s="1672"/>
      <c r="I2" s="1672"/>
      <c r="J2" s="1672"/>
      <c r="K2" s="1672"/>
      <c r="L2" s="1672"/>
      <c r="M2" s="1672"/>
      <c r="N2" s="1672"/>
      <c r="O2" s="1672"/>
      <c r="P2" s="1672"/>
      <c r="Q2" s="1672"/>
      <c r="R2" s="1672"/>
      <c r="S2" s="1672"/>
    </row>
    <row r="3" spans="1:22" ht="15.75">
      <c r="A3" s="2054" t="s">
        <v>1360</v>
      </c>
      <c r="B3" s="2825">
        <f ca="1">ROUND(B2*10000/E2,0)</f>
        <v>5085</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263" t="s">
        <v>2343</v>
      </c>
      <c r="C5" s="3264"/>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 (元)</v>
      </c>
      <c r="B6" s="2826">
        <f ca="1">IF(F6="是",'数据-取费表'!AO6,0)</f>
        <v>232</v>
      </c>
      <c r="C6" s="2056" t="s">
        <v>2340</v>
      </c>
      <c r="D6" s="2936"/>
      <c r="E6" s="2830">
        <f>IF(OR(A6=0,F6="否"),0,'数据-取费表'!K6+'数据-取费表'!S6)</f>
        <v>456.22</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5" t="s">
        <v>1044</v>
      </c>
      <c r="B1" s="3266"/>
      <c r="C1" s="3267"/>
      <c r="D1" s="3268">
        <f>SUM(I10,I15,I20,I21,I23)</f>
        <v>0</v>
      </c>
      <c r="E1" s="3268"/>
      <c r="F1" s="3268"/>
      <c r="G1" s="3268"/>
      <c r="H1" s="3268"/>
      <c r="I1" s="3269"/>
    </row>
    <row r="2" spans="1:9">
      <c r="A2" s="3270" t="s">
        <v>1045</v>
      </c>
      <c r="B2" s="3271" t="s">
        <v>1046</v>
      </c>
      <c r="C2" s="3271"/>
      <c r="D2" s="1209" t="s">
        <v>1047</v>
      </c>
      <c r="E2" s="1209" t="s">
        <v>1048</v>
      </c>
      <c r="F2" s="1209" t="s">
        <v>1049</v>
      </c>
      <c r="G2" s="1209" t="s">
        <v>1050</v>
      </c>
      <c r="H2" s="1209" t="s">
        <v>1051</v>
      </c>
      <c r="I2" s="1210" t="s">
        <v>1052</v>
      </c>
    </row>
    <row r="3" spans="1:9">
      <c r="A3" s="3270"/>
      <c r="B3" s="3271" t="s">
        <v>1053</v>
      </c>
      <c r="C3" s="3271"/>
      <c r="D3" s="1211"/>
      <c r="E3" s="1209"/>
      <c r="F3" s="1212"/>
      <c r="G3" s="1212"/>
      <c r="H3" s="1213"/>
      <c r="I3" s="1214">
        <f>ROUND(D3*E3*F3*G3*H3/10000,0)</f>
        <v>0</v>
      </c>
    </row>
    <row r="4" spans="1:9">
      <c r="A4" s="3270"/>
      <c r="B4" s="3271" t="s">
        <v>1054</v>
      </c>
      <c r="C4" s="3271"/>
      <c r="D4" s="1211"/>
      <c r="E4" s="1209"/>
      <c r="F4" s="1212"/>
      <c r="G4" s="1212"/>
      <c r="H4" s="1213"/>
      <c r="I4" s="1214">
        <f t="shared" ref="I4:I9" si="0">ROUND(D4*E4*F4*G4*H4/10000,0)</f>
        <v>0</v>
      </c>
    </row>
    <row r="5" spans="1:9">
      <c r="A5" s="3270"/>
      <c r="B5" s="3271" t="s">
        <v>1055</v>
      </c>
      <c r="C5" s="3271"/>
      <c r="D5" s="1211"/>
      <c r="E5" s="1209"/>
      <c r="F5" s="1212"/>
      <c r="G5" s="1212"/>
      <c r="H5" s="1213"/>
      <c r="I5" s="1214">
        <f t="shared" si="0"/>
        <v>0</v>
      </c>
    </row>
    <row r="6" spans="1:9">
      <c r="A6" s="3270"/>
      <c r="B6" s="3271" t="s">
        <v>1056</v>
      </c>
      <c r="C6" s="3271"/>
      <c r="D6" s="1211"/>
      <c r="E6" s="1209"/>
      <c r="F6" s="1212"/>
      <c r="G6" s="1212"/>
      <c r="H6" s="1213"/>
      <c r="I6" s="1214">
        <f t="shared" si="0"/>
        <v>0</v>
      </c>
    </row>
    <row r="7" spans="1:9">
      <c r="A7" s="3270"/>
      <c r="B7" s="3271" t="s">
        <v>1057</v>
      </c>
      <c r="C7" s="3271"/>
      <c r="D7" s="1211"/>
      <c r="E7" s="1209"/>
      <c r="F7" s="1212"/>
      <c r="G7" s="1212"/>
      <c r="H7" s="1213"/>
      <c r="I7" s="1214">
        <f t="shared" si="0"/>
        <v>0</v>
      </c>
    </row>
    <row r="8" spans="1:9">
      <c r="A8" s="3270"/>
      <c r="B8" s="3271" t="s">
        <v>1058</v>
      </c>
      <c r="C8" s="3271"/>
      <c r="D8" s="1211"/>
      <c r="E8" s="1209"/>
      <c r="F8" s="1212"/>
      <c r="G8" s="1212"/>
      <c r="H8" s="1213"/>
      <c r="I8" s="1214">
        <f t="shared" si="0"/>
        <v>0</v>
      </c>
    </row>
    <row r="9" spans="1:9">
      <c r="A9" s="3270"/>
      <c r="B9" s="3271" t="s">
        <v>1059</v>
      </c>
      <c r="C9" s="3271"/>
      <c r="D9" s="1211"/>
      <c r="E9" s="1209"/>
      <c r="F9" s="1212"/>
      <c r="G9" s="1212"/>
      <c r="H9" s="1213"/>
      <c r="I9" s="1214">
        <f t="shared" si="0"/>
        <v>0</v>
      </c>
    </row>
    <row r="10" spans="1:9">
      <c r="A10" s="3270"/>
      <c r="B10" s="3272" t="s">
        <v>1060</v>
      </c>
      <c r="C10" s="3272"/>
      <c r="D10" s="1215"/>
      <c r="E10" s="1215" t="e">
        <f>ROUND(D1*10000/D10/H9,0)</f>
        <v>#DIV/0!</v>
      </c>
      <c r="F10" s="1216"/>
      <c r="G10" s="1216"/>
      <c r="H10" s="1217"/>
      <c r="I10" s="1218">
        <f>SUM(I3:I9)</f>
        <v>0</v>
      </c>
    </row>
    <row r="11" spans="1:9" ht="14.25">
      <c r="A11" s="3270" t="s">
        <v>1061</v>
      </c>
      <c r="B11" s="3271" t="s">
        <v>1062</v>
      </c>
      <c r="C11" s="3271"/>
      <c r="D11" s="1211" t="s">
        <v>1063</v>
      </c>
      <c r="E11" s="1211" t="s">
        <v>1064</v>
      </c>
      <c r="F11" s="1212" t="s">
        <v>1065</v>
      </c>
      <c r="G11" s="1212" t="s">
        <v>1051</v>
      </c>
      <c r="H11" s="1219" t="s">
        <v>1066</v>
      </c>
      <c r="I11" s="1210" t="s">
        <v>1052</v>
      </c>
    </row>
    <row r="12" spans="1:9">
      <c r="A12" s="3270"/>
      <c r="B12" s="3271" t="s">
        <v>1067</v>
      </c>
      <c r="C12" s="3271"/>
      <c r="D12" s="1211"/>
      <c r="E12" s="1211"/>
      <c r="F12" s="1212"/>
      <c r="G12" s="1213"/>
      <c r="H12" s="1220"/>
      <c r="I12" s="1210">
        <f>ROUND(D12*E12*F12*G12/10000,0)</f>
        <v>0</v>
      </c>
    </row>
    <row r="13" spans="1:9">
      <c r="A13" s="3270"/>
      <c r="B13" s="3271" t="s">
        <v>1068</v>
      </c>
      <c r="C13" s="3271"/>
      <c r="D13" s="1211"/>
      <c r="E13" s="1211"/>
      <c r="F13" s="1212"/>
      <c r="G13" s="1213"/>
      <c r="H13" s="1220"/>
      <c r="I13" s="1210">
        <f>ROUND(D13*E13*F13*G13/10000,0)</f>
        <v>0</v>
      </c>
    </row>
    <row r="14" spans="1:9">
      <c r="A14" s="3270"/>
      <c r="B14" s="3271" t="s">
        <v>1069</v>
      </c>
      <c r="C14" s="3271"/>
      <c r="D14" s="1211"/>
      <c r="E14" s="1211"/>
      <c r="F14" s="1212"/>
      <c r="G14" s="1213"/>
      <c r="H14" s="1220"/>
      <c r="I14" s="1210">
        <f>ROUND(D14*E14*F14*G14/10000,0)</f>
        <v>0</v>
      </c>
    </row>
    <row r="15" spans="1:9">
      <c r="A15" s="3270"/>
      <c r="B15" s="3272" t="s">
        <v>1060</v>
      </c>
      <c r="C15" s="3272"/>
      <c r="D15" s="1215"/>
      <c r="E15" s="1215">
        <f>SUM(E12:E14)</f>
        <v>0</v>
      </c>
      <c r="F15" s="1216"/>
      <c r="G15" s="1213"/>
      <c r="H15" s="1220"/>
      <c r="I15" s="1221">
        <f>SUM(I12:I14)</f>
        <v>0</v>
      </c>
    </row>
    <row r="16" spans="1:9" ht="24">
      <c r="A16" s="3270" t="s">
        <v>1070</v>
      </c>
      <c r="B16" s="3271" t="s">
        <v>1071</v>
      </c>
      <c r="C16" s="3271"/>
      <c r="D16" s="1211" t="s">
        <v>1047</v>
      </c>
      <c r="E16" s="1222" t="s">
        <v>1072</v>
      </c>
      <c r="F16" s="1212" t="s">
        <v>1073</v>
      </c>
      <c r="G16" s="1213" t="s">
        <v>1051</v>
      </c>
      <c r="H16" s="1219" t="s">
        <v>1066</v>
      </c>
      <c r="I16" s="1210" t="s">
        <v>1052</v>
      </c>
    </row>
    <row r="17" spans="1:9" ht="14.25">
      <c r="A17" s="3270"/>
      <c r="B17" s="3271" t="s">
        <v>1074</v>
      </c>
      <c r="C17" s="3271"/>
      <c r="D17" s="1211"/>
      <c r="E17" s="1211"/>
      <c r="F17" s="1212"/>
      <c r="G17" s="1213"/>
      <c r="H17" s="1223"/>
      <c r="I17" s="1224">
        <f>ROUND(D17*E17*F17*G17/10000,0)</f>
        <v>0</v>
      </c>
    </row>
    <row r="18" spans="1:9" ht="14.25">
      <c r="A18" s="3270"/>
      <c r="B18" s="3271" t="s">
        <v>1075</v>
      </c>
      <c r="C18" s="3271"/>
      <c r="D18" s="1211"/>
      <c r="E18" s="1211"/>
      <c r="F18" s="1212"/>
      <c r="G18" s="1213"/>
      <c r="H18" s="1223"/>
      <c r="I18" s="1224">
        <f>ROUND(D18*E18*F18*G18/10000,0)</f>
        <v>0</v>
      </c>
    </row>
    <row r="19" spans="1:9" ht="14.25">
      <c r="A19" s="3270"/>
      <c r="B19" s="3271" t="s">
        <v>1076</v>
      </c>
      <c r="C19" s="3271"/>
      <c r="D19" s="1211"/>
      <c r="E19" s="1211"/>
      <c r="F19" s="1212"/>
      <c r="G19" s="1213"/>
      <c r="H19" s="1223"/>
      <c r="I19" s="1224">
        <f>ROUND(D19*E19*F19*G19/10000,0)</f>
        <v>0</v>
      </c>
    </row>
    <row r="20" spans="1:9">
      <c r="A20" s="3270"/>
      <c r="B20" s="3272" t="s">
        <v>1060</v>
      </c>
      <c r="C20" s="3272"/>
      <c r="D20" s="1215">
        <f>SUM(D17:D19)</f>
        <v>0</v>
      </c>
      <c r="E20" s="1215"/>
      <c r="F20" s="1216"/>
      <c r="G20" s="1213"/>
      <c r="H20" s="1220"/>
      <c r="I20" s="1221">
        <f>SUM(I17:I19)</f>
        <v>0</v>
      </c>
    </row>
    <row r="21" spans="1:9">
      <c r="A21" s="3270" t="s">
        <v>1077</v>
      </c>
      <c r="B21" s="3274"/>
      <c r="C21" s="3274"/>
      <c r="D21" s="3274"/>
      <c r="E21" s="3274"/>
      <c r="F21" s="3274"/>
      <c r="G21" s="3274"/>
      <c r="H21" s="1500">
        <v>0.1</v>
      </c>
      <c r="I21" s="1218">
        <f>ROUND(I10*H21,0)</f>
        <v>0</v>
      </c>
    </row>
    <row r="22" spans="1:9" ht="14.25">
      <c r="A22" s="3275" t="s">
        <v>1078</v>
      </c>
      <c r="B22" s="3276"/>
      <c r="C22" s="3277"/>
      <c r="D22" s="1225" t="s">
        <v>1079</v>
      </c>
      <c r="E22" s="1225" t="s">
        <v>1080</v>
      </c>
      <c r="F22" s="1226" t="s">
        <v>1081</v>
      </c>
      <c r="G22" s="1226" t="s">
        <v>1082</v>
      </c>
      <c r="H22" s="1219" t="s">
        <v>1083</v>
      </c>
      <c r="I22" s="1210" t="s">
        <v>1084</v>
      </c>
    </row>
    <row r="23" spans="1:9" ht="14.25" thickBot="1">
      <c r="A23" s="3278"/>
      <c r="B23" s="3279"/>
      <c r="C23" s="3280"/>
      <c r="D23" s="1227"/>
      <c r="E23" s="1227"/>
      <c r="F23" s="1227"/>
      <c r="G23" s="1228"/>
      <c r="H23" s="1229"/>
      <c r="I23" s="1230">
        <f>ROUND(E23*D23*F23*(1-G23)/10000,0)</f>
        <v>0</v>
      </c>
    </row>
    <row r="26" spans="1:9">
      <c r="A26" s="1231" t="s">
        <v>1085</v>
      </c>
      <c r="B26" s="1231"/>
      <c r="C26" s="1231"/>
      <c r="D26" s="1231"/>
      <c r="E26" s="3281">
        <f>C27-C30-C31-C32</f>
        <v>0</v>
      </c>
      <c r="F26" s="3281"/>
      <c r="G26" s="3281"/>
      <c r="H26" s="1497" t="s">
        <v>1306</v>
      </c>
    </row>
    <row r="27" spans="1:9">
      <c r="A27" s="1232">
        <v>1</v>
      </c>
      <c r="B27" s="1233" t="s">
        <v>1086</v>
      </c>
      <c r="C27" s="1233">
        <f>C28+C29</f>
        <v>0</v>
      </c>
      <c r="D27" s="1233"/>
      <c r="E27" s="3282"/>
      <c r="F27" s="3282"/>
      <c r="G27" s="3282"/>
    </row>
    <row r="28" spans="1:9">
      <c r="A28" s="1234" t="s">
        <v>1087</v>
      </c>
      <c r="B28" s="1233" t="s">
        <v>1088</v>
      </c>
      <c r="C28" s="1233"/>
      <c r="D28" s="1233"/>
      <c r="E28" s="3282"/>
      <c r="F28" s="3282"/>
      <c r="G28" s="3282"/>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73"/>
      <c r="F32" s="3273"/>
      <c r="G32" s="3273"/>
    </row>
    <row r="33" spans="1:7" hidden="1">
      <c r="A33" s="3283" t="s">
        <v>1097</v>
      </c>
      <c r="B33" s="3284"/>
      <c r="C33" s="3284"/>
      <c r="D33" s="3285"/>
      <c r="E33" s="3281"/>
      <c r="F33" s="3281"/>
      <c r="G33" s="3281"/>
    </row>
    <row r="34" spans="1:7" hidden="1">
      <c r="A34" s="1236">
        <v>1</v>
      </c>
      <c r="B34" s="1233" t="s">
        <v>1098</v>
      </c>
      <c r="C34" s="1233"/>
      <c r="D34" s="1233"/>
      <c r="E34" s="3282"/>
      <c r="F34" s="3282"/>
      <c r="G34" s="3282"/>
    </row>
    <row r="35" spans="1:7" hidden="1">
      <c r="A35" s="1236">
        <v>2</v>
      </c>
      <c r="B35" s="1233" t="s">
        <v>1099</v>
      </c>
      <c r="C35" s="1233"/>
      <c r="D35" s="1233"/>
      <c r="E35" s="3282"/>
      <c r="F35" s="3282"/>
      <c r="G35" s="3282"/>
    </row>
    <row r="36" spans="1:7" hidden="1">
      <c r="A36" s="1236">
        <v>3</v>
      </c>
      <c r="B36" s="1233" t="s">
        <v>1100</v>
      </c>
      <c r="C36" s="1233"/>
      <c r="D36" s="1233"/>
      <c r="E36" s="3282"/>
      <c r="F36" s="3282"/>
      <c r="G36" s="3282"/>
    </row>
    <row r="37" spans="1:7" hidden="1">
      <c r="A37" s="1236">
        <v>4</v>
      </c>
      <c r="B37" s="1233" t="s">
        <v>1101</v>
      </c>
      <c r="C37" s="1233"/>
      <c r="D37" s="1233"/>
      <c r="E37" s="3282"/>
      <c r="F37" s="3282"/>
      <c r="G37" s="3282"/>
    </row>
    <row r="38" spans="1:7" hidden="1">
      <c r="A38" s="3283" t="s">
        <v>1102</v>
      </c>
      <c r="B38" s="3284"/>
      <c r="C38" s="3284"/>
      <c r="D38" s="3285"/>
      <c r="E38" s="3281"/>
      <c r="F38" s="3281"/>
      <c r="G38" s="32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27173.91</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90"/>
    </row>
    <row r="4" spans="1:29" ht="15">
      <c r="A4" s="360" t="s">
        <v>2356</v>
      </c>
      <c r="B4" s="361"/>
      <c r="C4" s="3304" t="s">
        <v>2357</v>
      </c>
      <c r="D4" s="3305"/>
      <c r="E4" s="3306" t="s">
        <v>2358</v>
      </c>
      <c r="F4" s="3307"/>
      <c r="G4" s="3304" t="s">
        <v>2359</v>
      </c>
      <c r="H4" s="3305"/>
      <c r="I4" s="3304" t="s">
        <v>2360</v>
      </c>
      <c r="J4" s="3305"/>
      <c r="K4" s="2073" t="s">
        <v>2361</v>
      </c>
      <c r="L4" s="2942"/>
      <c r="M4" s="2943"/>
      <c r="N4" s="2943"/>
      <c r="O4" s="2943"/>
      <c r="P4" s="3308" t="s">
        <v>2362</v>
      </c>
      <c r="Q4" s="3309"/>
      <c r="R4" s="3291" t="s">
        <v>2358</v>
      </c>
      <c r="S4" s="3292"/>
      <c r="T4" s="3291" t="s">
        <v>2359</v>
      </c>
      <c r="U4" s="3292"/>
      <c r="V4" s="3316" t="s">
        <v>2360</v>
      </c>
      <c r="W4" s="3316"/>
      <c r="X4" s="1537"/>
      <c r="Y4" s="3291" t="s">
        <v>2362</v>
      </c>
      <c r="Z4" s="3292"/>
      <c r="AA4" s="3286" t="s">
        <v>2358</v>
      </c>
      <c r="AB4" s="3286" t="s">
        <v>2359</v>
      </c>
      <c r="AC4" s="3286" t="s">
        <v>2360</v>
      </c>
    </row>
    <row r="5" spans="1:29" ht="15">
      <c r="A5" s="363"/>
      <c r="B5" s="364"/>
      <c r="C5" s="3297" t="s">
        <v>2363</v>
      </c>
      <c r="D5" s="3298"/>
      <c r="E5" s="3295" t="s">
        <v>2364</v>
      </c>
      <c r="F5" s="3296"/>
      <c r="G5" s="3297" t="s">
        <v>2365</v>
      </c>
      <c r="H5" s="3298"/>
      <c r="I5" s="3297" t="s">
        <v>2366</v>
      </c>
      <c r="J5" s="3298"/>
      <c r="K5" s="2074"/>
      <c r="L5" s="2942"/>
      <c r="M5" s="2943"/>
      <c r="N5" s="2943"/>
      <c r="O5" s="2943"/>
      <c r="P5" s="3310"/>
      <c r="Q5" s="3311"/>
      <c r="R5" s="3293"/>
      <c r="S5" s="3294"/>
      <c r="T5" s="3293"/>
      <c r="U5" s="3294"/>
      <c r="V5" s="3316"/>
      <c r="W5" s="3316"/>
      <c r="X5" s="1537"/>
      <c r="Y5" s="3293"/>
      <c r="Z5" s="3294"/>
      <c r="AA5" s="3287"/>
      <c r="AB5" s="3287"/>
      <c r="AC5" s="3287"/>
    </row>
    <row r="6" spans="1:29" ht="15.75" thickBot="1">
      <c r="A6" s="365"/>
      <c r="B6" s="366"/>
      <c r="C6" s="3299" t="s">
        <v>2367</v>
      </c>
      <c r="D6" s="3300"/>
      <c r="E6" s="3301" t="s">
        <v>2367</v>
      </c>
      <c r="F6" s="3302"/>
      <c r="G6" s="3299" t="s">
        <v>2367</v>
      </c>
      <c r="H6" s="3300"/>
      <c r="I6" s="3299" t="s">
        <v>2367</v>
      </c>
      <c r="J6" s="3300"/>
      <c r="K6" s="2074" t="s">
        <v>2368</v>
      </c>
      <c r="L6" s="2942"/>
      <c r="M6" s="2943"/>
      <c r="N6" s="2943"/>
      <c r="O6" s="2943"/>
      <c r="P6" s="3312"/>
      <c r="Q6" s="3313"/>
      <c r="R6" s="3293"/>
      <c r="S6" s="3294"/>
      <c r="T6" s="3314"/>
      <c r="U6" s="3315"/>
      <c r="V6" s="3316"/>
      <c r="W6" s="3316"/>
      <c r="X6" s="1537"/>
      <c r="Y6" s="3314"/>
      <c r="Z6" s="3315"/>
      <c r="AA6" s="3288"/>
      <c r="AB6" s="3288"/>
      <c r="AC6" s="3288"/>
    </row>
    <row r="7" spans="1:29" s="113" customFormat="1" ht="15.75" thickBot="1">
      <c r="A7" s="367" t="s">
        <v>2369</v>
      </c>
      <c r="B7" s="368"/>
      <c r="C7" s="369">
        <f>'数据-取费表'!B2</f>
        <v>44544</v>
      </c>
      <c r="D7" s="370">
        <v>100</v>
      </c>
      <c r="E7" s="371"/>
      <c r="F7" s="372">
        <f>SUMIF(58:58,YEAR(E7)&amp;"-"&amp;MONTH(E7),59:59)</f>
        <v>0</v>
      </c>
      <c r="G7" s="371"/>
      <c r="H7" s="370">
        <f>SUMIF(58:58,YEAR(G7)&amp;"-"&amp;MONTH(G7),59:59)</f>
        <v>0</v>
      </c>
      <c r="I7" s="371"/>
      <c r="J7" s="370">
        <f>SUMIF(58:58,YEAR(I7)&amp;"-"&amp;MONTH(I7),59:59)</f>
        <v>0</v>
      </c>
      <c r="K7" s="2075"/>
      <c r="L7" s="2944"/>
      <c r="M7" s="2945"/>
      <c r="N7" s="2945"/>
      <c r="O7" s="2945"/>
      <c r="P7" s="3289" t="s">
        <v>2370</v>
      </c>
      <c r="Q7" s="3317"/>
      <c r="R7" s="708" t="s">
        <v>23</v>
      </c>
      <c r="S7" s="709">
        <f t="shared" ref="S7:S15" si="0">F7</f>
        <v>0</v>
      </c>
      <c r="T7" s="708" t="s">
        <v>23</v>
      </c>
      <c r="U7" s="709">
        <f t="shared" ref="U7:U15" si="1">H7</f>
        <v>0</v>
      </c>
      <c r="V7" s="708" t="s">
        <v>23</v>
      </c>
      <c r="W7" s="709">
        <f t="shared" ref="W7:W15" si="2">J7</f>
        <v>0</v>
      </c>
      <c r="X7" s="710"/>
      <c r="Y7" s="3289" t="s">
        <v>2370</v>
      </c>
      <c r="Z7" s="3290"/>
      <c r="AA7" s="711" t="e">
        <f>D7/F7</f>
        <v>#DIV/0!</v>
      </c>
      <c r="AB7" s="711" t="e">
        <f>D7/H7</f>
        <v>#DIV/0!</v>
      </c>
      <c r="AC7" s="711" t="e">
        <f>D7/J7</f>
        <v>#DIV/0!</v>
      </c>
    </row>
    <row r="8" spans="1:29" s="113"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4"/>
      <c r="M8" s="2945"/>
      <c r="N8" s="2945"/>
      <c r="O8" s="2945"/>
      <c r="P8" s="3289" t="s">
        <v>2373</v>
      </c>
      <c r="Q8" s="3290"/>
      <c r="R8" s="708" t="s">
        <v>23</v>
      </c>
      <c r="S8" s="709">
        <f t="shared" si="0"/>
        <v>0</v>
      </c>
      <c r="T8" s="708" t="s">
        <v>23</v>
      </c>
      <c r="U8" s="709">
        <f t="shared" si="1"/>
        <v>0</v>
      </c>
      <c r="V8" s="708" t="s">
        <v>23</v>
      </c>
      <c r="W8" s="709">
        <f t="shared" si="2"/>
        <v>0</v>
      </c>
      <c r="X8" s="710"/>
      <c r="Y8" s="3289" t="s">
        <v>2373</v>
      </c>
      <c r="Z8" s="3290"/>
      <c r="AA8" s="711" t="e">
        <f t="shared" ref="AA8:AA19" si="3">D8/F8</f>
        <v>#DIV/0!</v>
      </c>
      <c r="AB8" s="711" t="e">
        <f t="shared" ref="AB8:AB19" si="4">D8/H8</f>
        <v>#DIV/0!</v>
      </c>
      <c r="AC8" s="711"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75"/>
      <c r="L9" s="2944"/>
      <c r="M9" s="2945"/>
      <c r="N9" s="2945"/>
      <c r="O9" s="2945"/>
      <c r="P9" s="3303" t="s">
        <v>2376</v>
      </c>
      <c r="Q9" s="1525" t="str">
        <f t="shared" ref="Q9:Q15" si="6">B9</f>
        <v>用途</v>
      </c>
      <c r="R9" s="708" t="s">
        <v>17</v>
      </c>
      <c r="S9" s="709">
        <f t="shared" si="0"/>
        <v>100</v>
      </c>
      <c r="T9" s="708" t="s">
        <v>17</v>
      </c>
      <c r="U9" s="709">
        <f t="shared" si="1"/>
        <v>100</v>
      </c>
      <c r="V9" s="708" t="s">
        <v>17</v>
      </c>
      <c r="W9" s="709">
        <f t="shared" si="2"/>
        <v>100</v>
      </c>
      <c r="X9" s="710"/>
      <c r="Y9" s="3231" t="s">
        <v>2377</v>
      </c>
      <c r="Z9" s="55" t="str">
        <f t="shared" ref="Z9:Z15" si="7">Q9</f>
        <v>用途</v>
      </c>
      <c r="AA9" s="711">
        <f t="shared" si="3"/>
        <v>1</v>
      </c>
      <c r="AB9" s="711">
        <f t="shared" si="4"/>
        <v>1</v>
      </c>
      <c r="AC9" s="711">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303"/>
      <c r="Q10" s="1525" t="str">
        <f t="shared" si="6"/>
        <v>土地使用年限（年）</v>
      </c>
      <c r="R10" s="708" t="s">
        <v>17</v>
      </c>
      <c r="S10" s="709">
        <f t="shared" si="0"/>
        <v>100</v>
      </c>
      <c r="T10" s="708" t="s">
        <v>17</v>
      </c>
      <c r="U10" s="709">
        <f t="shared" si="1"/>
        <v>100</v>
      </c>
      <c r="V10" s="708" t="s">
        <v>17</v>
      </c>
      <c r="W10" s="709">
        <f t="shared" si="2"/>
        <v>100</v>
      </c>
      <c r="X10" s="710"/>
      <c r="Y10" s="3231"/>
      <c r="Z10" s="55" t="str">
        <f t="shared" si="7"/>
        <v>土地使用年限（年）</v>
      </c>
      <c r="AA10" s="711">
        <f t="shared" si="3"/>
        <v>1</v>
      </c>
      <c r="AB10" s="711">
        <f t="shared" si="4"/>
        <v>1</v>
      </c>
      <c r="AC10" s="711">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303"/>
      <c r="Q11" s="1525" t="str">
        <f t="shared" si="6"/>
        <v>容积率</v>
      </c>
      <c r="R11" s="708" t="s">
        <v>21</v>
      </c>
      <c r="S11" s="709" t="e">
        <f t="shared" si="0"/>
        <v>#N/A</v>
      </c>
      <c r="T11" s="708" t="s">
        <v>21</v>
      </c>
      <c r="U11" s="709" t="e">
        <f t="shared" si="1"/>
        <v>#N/A</v>
      </c>
      <c r="V11" s="708" t="s">
        <v>21</v>
      </c>
      <c r="W11" s="709" t="e">
        <f t="shared" si="2"/>
        <v>#N/A</v>
      </c>
      <c r="X11" s="710"/>
      <c r="Y11" s="3231"/>
      <c r="Z11" s="55" t="str">
        <f t="shared" si="7"/>
        <v>容积率</v>
      </c>
      <c r="AA11" s="711" t="e">
        <f t="shared" si="3"/>
        <v>#N/A</v>
      </c>
      <c r="AB11" s="711" t="e">
        <f t="shared" si="4"/>
        <v>#N/A</v>
      </c>
      <c r="AC11" s="711" t="e">
        <f t="shared" si="5"/>
        <v>#N/A</v>
      </c>
    </row>
    <row r="12" spans="1:29" s="113"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4"/>
      <c r="M12" s="2945"/>
      <c r="N12" s="2945"/>
      <c r="O12" s="2945"/>
      <c r="P12" s="3303"/>
      <c r="Q12" s="1525">
        <f t="shared" si="6"/>
        <v>111</v>
      </c>
      <c r="R12" s="708" t="s">
        <v>21</v>
      </c>
      <c r="S12" s="709">
        <f t="shared" si="0"/>
        <v>100</v>
      </c>
      <c r="T12" s="708" t="s">
        <v>21</v>
      </c>
      <c r="U12" s="709">
        <f t="shared" si="1"/>
        <v>100</v>
      </c>
      <c r="V12" s="708" t="s">
        <v>21</v>
      </c>
      <c r="W12" s="709">
        <f t="shared" si="2"/>
        <v>100</v>
      </c>
      <c r="X12" s="710"/>
      <c r="Y12" s="3231"/>
      <c r="Z12" s="55">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9"/>
      <c r="M13" s="2943"/>
      <c r="N13" s="2943"/>
      <c r="O13" s="2943"/>
      <c r="P13" s="3303"/>
      <c r="Q13" s="1525">
        <f t="shared" si="6"/>
        <v>111</v>
      </c>
      <c r="R13" s="708" t="s">
        <v>21</v>
      </c>
      <c r="S13" s="709">
        <f t="shared" si="0"/>
        <v>100</v>
      </c>
      <c r="T13" s="708" t="s">
        <v>21</v>
      </c>
      <c r="U13" s="709">
        <f t="shared" si="1"/>
        <v>100</v>
      </c>
      <c r="V13" s="708" t="s">
        <v>21</v>
      </c>
      <c r="W13" s="709">
        <f t="shared" si="2"/>
        <v>100</v>
      </c>
      <c r="X13" s="710"/>
      <c r="Y13" s="3231"/>
      <c r="Z13" s="55">
        <f t="shared" si="7"/>
        <v>111</v>
      </c>
      <c r="AA13" s="711">
        <f t="shared" si="3"/>
        <v>1</v>
      </c>
      <c r="AB13" s="711">
        <f t="shared" si="4"/>
        <v>1</v>
      </c>
      <c r="AC13" s="711">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9"/>
      <c r="M14" s="2943"/>
      <c r="N14" s="2943"/>
      <c r="O14" s="2943"/>
      <c r="P14" s="3303"/>
      <c r="Q14" s="1525">
        <f t="shared" si="6"/>
        <v>111</v>
      </c>
      <c r="R14" s="708" t="s">
        <v>21</v>
      </c>
      <c r="S14" s="709">
        <f t="shared" si="0"/>
        <v>100</v>
      </c>
      <c r="T14" s="708" t="s">
        <v>21</v>
      </c>
      <c r="U14" s="709">
        <f t="shared" si="1"/>
        <v>100</v>
      </c>
      <c r="V14" s="708" t="s">
        <v>21</v>
      </c>
      <c r="W14" s="709">
        <f t="shared" si="2"/>
        <v>100</v>
      </c>
      <c r="X14" s="710"/>
      <c r="Y14" s="3231"/>
      <c r="Z14" s="55">
        <f t="shared" si="7"/>
        <v>111</v>
      </c>
      <c r="AA14" s="711">
        <f t="shared" si="3"/>
        <v>1</v>
      </c>
      <c r="AB14" s="711">
        <f t="shared" si="4"/>
        <v>1</v>
      </c>
      <c r="AC14" s="711">
        <f t="shared" si="5"/>
        <v>1</v>
      </c>
    </row>
    <row r="15" spans="1:29" ht="15">
      <c r="A15" s="398" t="s">
        <v>2380</v>
      </c>
      <c r="B15" s="65" t="s">
        <v>1943</v>
      </c>
      <c r="C15" s="2080">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30" t="s">
        <v>2381</v>
      </c>
      <c r="Q15" s="1534" t="str">
        <f t="shared" si="6"/>
        <v>居住社区成熟度</v>
      </c>
      <c r="R15" s="712" t="s">
        <v>21</v>
      </c>
      <c r="S15" s="713">
        <f t="shared" si="0"/>
        <v>100</v>
      </c>
      <c r="T15" s="712" t="s">
        <v>21</v>
      </c>
      <c r="U15" s="713">
        <f t="shared" si="1"/>
        <v>100</v>
      </c>
      <c r="V15" s="712" t="s">
        <v>21</v>
      </c>
      <c r="W15" s="713">
        <f t="shared" si="2"/>
        <v>100</v>
      </c>
      <c r="X15" s="1537"/>
      <c r="Y15" s="3323"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9"/>
      <c r="M16" s="2943"/>
      <c r="N16" s="2943"/>
      <c r="O16" s="2943"/>
      <c r="P16" s="3331"/>
      <c r="Q16" s="1534"/>
      <c r="R16" s="712"/>
      <c r="S16" s="713"/>
      <c r="T16" s="712"/>
      <c r="U16" s="713"/>
      <c r="V16" s="712"/>
      <c r="W16" s="713"/>
      <c r="X16" s="1537"/>
      <c r="Y16" s="3324"/>
      <c r="Z16" s="1538"/>
      <c r="AA16" s="1535">
        <v>1</v>
      </c>
      <c r="AB16" s="1535">
        <v>1</v>
      </c>
      <c r="AC16" s="1535">
        <v>1</v>
      </c>
    </row>
    <row r="17" spans="1:29" ht="15">
      <c r="A17" s="386"/>
      <c r="B17" s="409" t="s">
        <v>1945</v>
      </c>
      <c r="C17" s="2084">
        <f>估价对象房地状况!C6</f>
        <v>0</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31"/>
      <c r="Q17" s="1534" t="str">
        <f>B17</f>
        <v>交通便捷度</v>
      </c>
      <c r="R17" s="712" t="s">
        <v>21</v>
      </c>
      <c r="S17" s="713">
        <f>F17</f>
        <v>100</v>
      </c>
      <c r="T17" s="712" t="s">
        <v>21</v>
      </c>
      <c r="U17" s="713">
        <f>H17</f>
        <v>100</v>
      </c>
      <c r="V17" s="712" t="s">
        <v>21</v>
      </c>
      <c r="W17" s="713">
        <f>J17</f>
        <v>100</v>
      </c>
      <c r="X17" s="1537"/>
      <c r="Y17" s="3324"/>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9"/>
      <c r="M18" s="2943"/>
      <c r="N18" s="2943"/>
      <c r="O18" s="2943"/>
      <c r="P18" s="3331"/>
      <c r="Q18" s="1534"/>
      <c r="R18" s="712"/>
      <c r="S18" s="713"/>
      <c r="T18" s="712"/>
      <c r="U18" s="713"/>
      <c r="V18" s="712"/>
      <c r="W18" s="713"/>
      <c r="X18" s="1537"/>
      <c r="Y18" s="3324"/>
      <c r="Z18" s="1538"/>
      <c r="AA18" s="1535">
        <v>1</v>
      </c>
      <c r="AB18" s="1535">
        <v>1</v>
      </c>
      <c r="AC18" s="1535">
        <v>1</v>
      </c>
    </row>
    <row r="19" spans="1:29" ht="15">
      <c r="A19" s="386"/>
      <c r="B19" s="409" t="s">
        <v>1944</v>
      </c>
      <c r="C19" s="2084">
        <f>估价对象房地状况!C7</f>
        <v>0</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31"/>
      <c r="Q19" s="1534" t="str">
        <f>B19</f>
        <v>公共配套设施</v>
      </c>
      <c r="R19" s="712" t="s">
        <v>21</v>
      </c>
      <c r="S19" s="713">
        <f>F19</f>
        <v>100</v>
      </c>
      <c r="T19" s="712" t="s">
        <v>21</v>
      </c>
      <c r="U19" s="713">
        <f>H19</f>
        <v>100</v>
      </c>
      <c r="V19" s="712" t="s">
        <v>21</v>
      </c>
      <c r="W19" s="713">
        <f>J19</f>
        <v>100</v>
      </c>
      <c r="X19" s="1537"/>
      <c r="Y19" s="3324"/>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9"/>
      <c r="M20" s="2943"/>
      <c r="N20" s="2943"/>
      <c r="O20" s="2943"/>
      <c r="P20" s="3331"/>
      <c r="Q20" s="1534"/>
      <c r="R20" s="712"/>
      <c r="S20" s="713"/>
      <c r="T20" s="712"/>
      <c r="U20" s="713"/>
      <c r="V20" s="712"/>
      <c r="W20" s="713"/>
      <c r="X20" s="1537"/>
      <c r="Y20" s="3324"/>
      <c r="Z20" s="1538"/>
      <c r="AA20" s="1535">
        <v>1</v>
      </c>
      <c r="AB20" s="1535">
        <v>1</v>
      </c>
      <c r="AC20" s="1535">
        <v>1</v>
      </c>
    </row>
    <row r="21" spans="1:29" ht="15">
      <c r="A21" s="386"/>
      <c r="B21" s="1291" t="s">
        <v>1946</v>
      </c>
      <c r="C21" s="2084">
        <f>估价对象房地状况!C8</f>
        <v>0</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31"/>
      <c r="Q21" s="1534" t="str">
        <f>B21</f>
        <v>基础设施水平</v>
      </c>
      <c r="R21" s="712" t="s">
        <v>17</v>
      </c>
      <c r="S21" s="713">
        <f>F21</f>
        <v>100</v>
      </c>
      <c r="T21" s="712" t="s">
        <v>17</v>
      </c>
      <c r="U21" s="713">
        <f>H21</f>
        <v>100</v>
      </c>
      <c r="V21" s="712" t="s">
        <v>17</v>
      </c>
      <c r="W21" s="713">
        <f>J21</f>
        <v>100</v>
      </c>
      <c r="X21" s="1537"/>
      <c r="Y21" s="3324"/>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9"/>
      <c r="M22" s="2943"/>
      <c r="N22" s="2943"/>
      <c r="O22" s="2943"/>
      <c r="P22" s="3331"/>
      <c r="Q22" s="1534"/>
      <c r="R22" s="712"/>
      <c r="S22" s="713"/>
      <c r="T22" s="712"/>
      <c r="U22" s="713"/>
      <c r="V22" s="712"/>
      <c r="W22" s="713"/>
      <c r="X22" s="1537"/>
      <c r="Y22" s="3324"/>
      <c r="Z22" s="1538"/>
      <c r="AA22" s="1535">
        <v>1</v>
      </c>
      <c r="AB22" s="1535">
        <v>1</v>
      </c>
      <c r="AC22" s="1535">
        <v>1</v>
      </c>
    </row>
    <row r="23" spans="1:29" ht="15">
      <c r="A23" s="386"/>
      <c r="B23" s="409" t="s">
        <v>1947</v>
      </c>
      <c r="C23" s="2084">
        <f>估价对象房地状况!C9</f>
        <v>0</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31"/>
      <c r="Q23" s="1534" t="str">
        <f>B23</f>
        <v>自然及人文环境</v>
      </c>
      <c r="R23" s="712" t="s">
        <v>21</v>
      </c>
      <c r="S23" s="713">
        <f>F23</f>
        <v>100</v>
      </c>
      <c r="T23" s="712" t="s">
        <v>21</v>
      </c>
      <c r="U23" s="713">
        <f>H23</f>
        <v>100</v>
      </c>
      <c r="V23" s="712" t="s">
        <v>21</v>
      </c>
      <c r="W23" s="713">
        <f>J23</f>
        <v>100</v>
      </c>
      <c r="X23" s="1537"/>
      <c r="Y23" s="3324"/>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9"/>
      <c r="M24" s="2943"/>
      <c r="N24" s="2943"/>
      <c r="O24" s="2943"/>
      <c r="P24" s="3331"/>
      <c r="Q24" s="1534"/>
      <c r="R24" s="712"/>
      <c r="S24" s="713"/>
      <c r="T24" s="712"/>
      <c r="U24" s="713"/>
      <c r="V24" s="712"/>
      <c r="W24" s="713"/>
      <c r="X24" s="1537"/>
      <c r="Y24" s="3324"/>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9"/>
      <c r="M25" s="2943"/>
      <c r="N25" s="2943"/>
      <c r="O25" s="2943"/>
      <c r="P25" s="3331"/>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24"/>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9"/>
      <c r="M26" s="2943"/>
      <c r="N26" s="2943"/>
      <c r="O26" s="2943"/>
      <c r="P26" s="3331"/>
      <c r="Q26" s="1534" t="str">
        <f t="shared" si="11"/>
        <v>朝向</v>
      </c>
      <c r="R26" s="712" t="s">
        <v>21</v>
      </c>
      <c r="S26" s="713">
        <f t="shared" si="12"/>
        <v>100</v>
      </c>
      <c r="T26" s="712" t="s">
        <v>21</v>
      </c>
      <c r="U26" s="713">
        <f t="shared" si="13"/>
        <v>100</v>
      </c>
      <c r="V26" s="712" t="s">
        <v>21</v>
      </c>
      <c r="W26" s="713">
        <f t="shared" si="14"/>
        <v>100</v>
      </c>
      <c r="X26" s="1537"/>
      <c r="Y26" s="3324"/>
      <c r="Z26" s="1538" t="str">
        <f>Q26</f>
        <v>朝向</v>
      </c>
      <c r="AA26" s="1535">
        <f t="shared" si="15"/>
        <v>1</v>
      </c>
      <c r="AB26" s="1535">
        <f t="shared" si="16"/>
        <v>1</v>
      </c>
      <c r="AC26" s="1535">
        <f t="shared" si="17"/>
        <v>1</v>
      </c>
    </row>
    <row r="27" spans="1:29" s="113"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4"/>
      <c r="M27" s="2945"/>
      <c r="N27" s="2945"/>
      <c r="O27" s="2945"/>
      <c r="P27" s="3331"/>
      <c r="Q27" s="1525">
        <f t="shared" si="11"/>
        <v>111</v>
      </c>
      <c r="R27" s="708" t="s">
        <v>21</v>
      </c>
      <c r="S27" s="709">
        <f t="shared" si="12"/>
        <v>100</v>
      </c>
      <c r="T27" s="708" t="s">
        <v>21</v>
      </c>
      <c r="U27" s="709">
        <f t="shared" si="13"/>
        <v>100</v>
      </c>
      <c r="V27" s="708" t="s">
        <v>21</v>
      </c>
      <c r="W27" s="709">
        <f t="shared" si="14"/>
        <v>100</v>
      </c>
      <c r="X27" s="710"/>
      <c r="Y27" s="3324"/>
      <c r="Z27" s="55">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9"/>
      <c r="M28" s="2943"/>
      <c r="N28" s="2943"/>
      <c r="O28" s="2943"/>
      <c r="P28" s="3331"/>
      <c r="Q28" s="1534">
        <f t="shared" si="11"/>
        <v>111</v>
      </c>
      <c r="R28" s="712" t="s">
        <v>21</v>
      </c>
      <c r="S28" s="713">
        <f t="shared" si="12"/>
        <v>100</v>
      </c>
      <c r="T28" s="712" t="s">
        <v>21</v>
      </c>
      <c r="U28" s="713">
        <f t="shared" si="13"/>
        <v>100</v>
      </c>
      <c r="V28" s="712" t="s">
        <v>21</v>
      </c>
      <c r="W28" s="713">
        <f t="shared" si="14"/>
        <v>100</v>
      </c>
      <c r="X28" s="1537"/>
      <c r="Y28" s="3324"/>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9"/>
      <c r="M29" s="2943"/>
      <c r="N29" s="2943"/>
      <c r="O29" s="2943"/>
      <c r="P29" s="3331"/>
      <c r="Q29" s="1534">
        <f t="shared" si="11"/>
        <v>111</v>
      </c>
      <c r="R29" s="712" t="s">
        <v>21</v>
      </c>
      <c r="S29" s="713">
        <f t="shared" si="12"/>
        <v>100</v>
      </c>
      <c r="T29" s="712" t="s">
        <v>21</v>
      </c>
      <c r="U29" s="713">
        <f t="shared" si="13"/>
        <v>100</v>
      </c>
      <c r="V29" s="712" t="s">
        <v>21</v>
      </c>
      <c r="W29" s="713">
        <f t="shared" si="14"/>
        <v>100</v>
      </c>
      <c r="X29" s="1537"/>
      <c r="Y29" s="3324"/>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9"/>
      <c r="M30" s="2943"/>
      <c r="N30" s="2943"/>
      <c r="O30" s="2943"/>
      <c r="P30" s="3331"/>
      <c r="Q30" s="1534">
        <f t="shared" si="11"/>
        <v>111</v>
      </c>
      <c r="R30" s="712" t="s">
        <v>21</v>
      </c>
      <c r="S30" s="713">
        <f t="shared" si="12"/>
        <v>100</v>
      </c>
      <c r="T30" s="712" t="s">
        <v>21</v>
      </c>
      <c r="U30" s="713">
        <f t="shared" si="13"/>
        <v>100</v>
      </c>
      <c r="V30" s="712" t="s">
        <v>21</v>
      </c>
      <c r="W30" s="713">
        <f t="shared" si="14"/>
        <v>100</v>
      </c>
      <c r="X30" s="1537"/>
      <c r="Y30" s="3324"/>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9"/>
      <c r="M31" s="2943"/>
      <c r="N31" s="2943"/>
      <c r="O31" s="2943"/>
      <c r="P31" s="3331"/>
      <c r="Q31" s="1534">
        <f t="shared" si="11"/>
        <v>111</v>
      </c>
      <c r="R31" s="712" t="s">
        <v>21</v>
      </c>
      <c r="S31" s="713">
        <f t="shared" si="12"/>
        <v>100</v>
      </c>
      <c r="T31" s="712" t="s">
        <v>21</v>
      </c>
      <c r="U31" s="713">
        <f t="shared" si="13"/>
        <v>100</v>
      </c>
      <c r="V31" s="712" t="s">
        <v>21</v>
      </c>
      <c r="W31" s="713">
        <f t="shared" si="14"/>
        <v>100</v>
      </c>
      <c r="X31" s="1537"/>
      <c r="Y31" s="3324"/>
      <c r="Z31" s="1538">
        <f t="shared" si="18"/>
        <v>111</v>
      </c>
      <c r="AA31" s="1535">
        <f t="shared" si="15"/>
        <v>1</v>
      </c>
      <c r="AB31" s="1535">
        <f t="shared" si="16"/>
        <v>1</v>
      </c>
      <c r="AC31" s="1535">
        <f t="shared" si="17"/>
        <v>1</v>
      </c>
    </row>
    <row r="32" spans="1:29" ht="15">
      <c r="A32" s="398" t="s">
        <v>2384</v>
      </c>
      <c r="B32" s="67"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9"/>
      <c r="M32" s="2943"/>
      <c r="N32" s="2943"/>
      <c r="O32" s="2943"/>
      <c r="P32" s="3325" t="s">
        <v>2386</v>
      </c>
      <c r="Q32" s="1534" t="str">
        <f t="shared" si="11"/>
        <v>建筑类型</v>
      </c>
      <c r="R32" s="712" t="s">
        <v>21</v>
      </c>
      <c r="S32" s="713">
        <f t="shared" si="12"/>
        <v>100</v>
      </c>
      <c r="T32" s="712" t="s">
        <v>21</v>
      </c>
      <c r="U32" s="713">
        <f t="shared" si="13"/>
        <v>100</v>
      </c>
      <c r="V32" s="712" t="s">
        <v>21</v>
      </c>
      <c r="W32" s="713">
        <f t="shared" si="14"/>
        <v>100</v>
      </c>
      <c r="X32" s="1537"/>
      <c r="Y32" s="3328"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8"/>
      <c r="M33" s="2950"/>
      <c r="N33" s="2950"/>
      <c r="O33" s="2950"/>
      <c r="P33" s="3326"/>
      <c r="Q33" s="714" t="str">
        <f t="shared" si="11"/>
        <v>项目建筑规模</v>
      </c>
      <c r="R33" s="715" t="s">
        <v>21</v>
      </c>
      <c r="S33" s="716" t="e">
        <f t="shared" si="12"/>
        <v>#N/A</v>
      </c>
      <c r="T33" s="715" t="s">
        <v>21</v>
      </c>
      <c r="U33" s="716" t="e">
        <f t="shared" si="13"/>
        <v>#N/A</v>
      </c>
      <c r="V33" s="715" t="s">
        <v>21</v>
      </c>
      <c r="W33" s="716" t="e">
        <f t="shared" si="14"/>
        <v>#N/A</v>
      </c>
      <c r="X33" s="717"/>
      <c r="Y33" s="3328"/>
      <c r="Z33" s="718"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9"/>
      <c r="M34" s="2943"/>
      <c r="N34" s="2943"/>
      <c r="O34" s="2943"/>
      <c r="P34" s="3326"/>
      <c r="Q34" s="1534" t="str">
        <f t="shared" si="11"/>
        <v>建筑结构</v>
      </c>
      <c r="R34" s="712" t="s">
        <v>21</v>
      </c>
      <c r="S34" s="713">
        <f t="shared" si="12"/>
        <v>100</v>
      </c>
      <c r="T34" s="712" t="s">
        <v>21</v>
      </c>
      <c r="U34" s="713">
        <f t="shared" si="13"/>
        <v>100</v>
      </c>
      <c r="V34" s="712" t="s">
        <v>21</v>
      </c>
      <c r="W34" s="713">
        <f t="shared" si="14"/>
        <v>100</v>
      </c>
      <c r="X34" s="1537"/>
      <c r="Y34" s="3328"/>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9"/>
      <c r="M35" s="2943"/>
      <c r="N35" s="2943"/>
      <c r="O35" s="2943"/>
      <c r="P35" s="3326"/>
      <c r="Q35" s="1534" t="str">
        <f t="shared" si="11"/>
        <v>建筑品质</v>
      </c>
      <c r="R35" s="712" t="s">
        <v>21</v>
      </c>
      <c r="S35" s="713">
        <f t="shared" si="12"/>
        <v>100</v>
      </c>
      <c r="T35" s="712" t="s">
        <v>21</v>
      </c>
      <c r="U35" s="713">
        <f t="shared" si="13"/>
        <v>100</v>
      </c>
      <c r="V35" s="712" t="s">
        <v>21</v>
      </c>
      <c r="W35" s="713">
        <f t="shared" si="14"/>
        <v>100</v>
      </c>
      <c r="X35" s="1537"/>
      <c r="Y35" s="3328"/>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9"/>
      <c r="M36" s="2943"/>
      <c r="N36" s="2943"/>
      <c r="O36" s="2943"/>
      <c r="P36" s="3326"/>
      <c r="Q36" s="1534" t="str">
        <f t="shared" si="11"/>
        <v>公共部分装修</v>
      </c>
      <c r="R36" s="712" t="s">
        <v>21</v>
      </c>
      <c r="S36" s="713">
        <f t="shared" si="12"/>
        <v>100</v>
      </c>
      <c r="T36" s="712" t="s">
        <v>21</v>
      </c>
      <c r="U36" s="713">
        <f t="shared" si="13"/>
        <v>100</v>
      </c>
      <c r="V36" s="712" t="s">
        <v>21</v>
      </c>
      <c r="W36" s="713">
        <f t="shared" si="14"/>
        <v>100</v>
      </c>
      <c r="X36" s="1537"/>
      <c r="Y36" s="3328"/>
      <c r="Z36" s="1538" t="str">
        <f t="shared" si="18"/>
        <v>公共部分装修</v>
      </c>
      <c r="AA36" s="1535">
        <f t="shared" si="15"/>
        <v>1</v>
      </c>
      <c r="AB36" s="1535">
        <f t="shared" si="16"/>
        <v>1</v>
      </c>
      <c r="AC36" s="1535">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26"/>
      <c r="Q37" s="1525" t="str">
        <f t="shared" si="11"/>
        <v>成新度</v>
      </c>
      <c r="R37" s="708" t="s">
        <v>21</v>
      </c>
      <c r="S37" s="709" t="e">
        <f t="shared" si="12"/>
        <v>#N/A</v>
      </c>
      <c r="T37" s="708" t="s">
        <v>21</v>
      </c>
      <c r="U37" s="709" t="e">
        <f t="shared" si="13"/>
        <v>#N/A</v>
      </c>
      <c r="V37" s="708" t="s">
        <v>21</v>
      </c>
      <c r="W37" s="709" t="e">
        <f t="shared" si="14"/>
        <v>#N/A</v>
      </c>
      <c r="X37" s="710"/>
      <c r="Y37" s="3328"/>
      <c r="Z37" s="55" t="str">
        <f t="shared" si="18"/>
        <v>成新度</v>
      </c>
      <c r="AA37" s="711" t="e">
        <f t="shared" si="15"/>
        <v>#N/A</v>
      </c>
      <c r="AB37" s="711" t="e">
        <f t="shared" si="16"/>
        <v>#N/A</v>
      </c>
      <c r="AC37" s="711"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9"/>
      <c r="M38" s="2943"/>
      <c r="N38" s="2943"/>
      <c r="O38" s="2943"/>
      <c r="P38" s="3326" t="s">
        <v>2386</v>
      </c>
      <c r="Q38" s="1534" t="str">
        <f t="shared" si="11"/>
        <v>物业管理</v>
      </c>
      <c r="R38" s="712" t="s">
        <v>21</v>
      </c>
      <c r="S38" s="713">
        <f t="shared" si="12"/>
        <v>100</v>
      </c>
      <c r="T38" s="712" t="s">
        <v>21</v>
      </c>
      <c r="U38" s="713">
        <f t="shared" si="13"/>
        <v>100</v>
      </c>
      <c r="V38" s="712" t="s">
        <v>21</v>
      </c>
      <c r="W38" s="713">
        <f t="shared" si="14"/>
        <v>100</v>
      </c>
      <c r="X38" s="1537"/>
      <c r="Y38" s="3328"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9"/>
      <c r="M39" s="2943"/>
      <c r="N39" s="2943"/>
      <c r="O39" s="2943"/>
      <c r="P39" s="3326"/>
      <c r="Q39" s="1534" t="str">
        <f t="shared" si="11"/>
        <v>市政基础设施</v>
      </c>
      <c r="R39" s="712" t="s">
        <v>21</v>
      </c>
      <c r="S39" s="713">
        <f t="shared" si="12"/>
        <v>100</v>
      </c>
      <c r="T39" s="712" t="s">
        <v>21</v>
      </c>
      <c r="U39" s="713">
        <f t="shared" si="13"/>
        <v>100</v>
      </c>
      <c r="V39" s="712" t="s">
        <v>21</v>
      </c>
      <c r="W39" s="713">
        <f t="shared" si="14"/>
        <v>100</v>
      </c>
      <c r="X39" s="1537"/>
      <c r="Y39" s="3328"/>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9"/>
      <c r="M40" s="2943"/>
      <c r="N40" s="2943"/>
      <c r="O40" s="2943"/>
      <c r="P40" s="3326"/>
      <c r="Q40" s="1534" t="str">
        <f t="shared" si="11"/>
        <v>房型</v>
      </c>
      <c r="R40" s="712" t="s">
        <v>21</v>
      </c>
      <c r="S40" s="713">
        <f t="shared" si="12"/>
        <v>100</v>
      </c>
      <c r="T40" s="712" t="s">
        <v>21</v>
      </c>
      <c r="U40" s="713">
        <f t="shared" si="13"/>
        <v>100</v>
      </c>
      <c r="V40" s="712" t="s">
        <v>21</v>
      </c>
      <c r="W40" s="713">
        <f t="shared" si="14"/>
        <v>100</v>
      </c>
      <c r="X40" s="1537"/>
      <c r="Y40" s="3328"/>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8"/>
      <c r="M41" s="2950"/>
      <c r="N41" s="2950"/>
      <c r="O41" s="2950"/>
      <c r="P41" s="3326"/>
      <c r="Q41" s="714" t="str">
        <f t="shared" si="11"/>
        <v>单套/主力户型建筑面积</v>
      </c>
      <c r="R41" s="715" t="s">
        <v>21</v>
      </c>
      <c r="S41" s="716">
        <f t="shared" si="12"/>
        <v>100</v>
      </c>
      <c r="T41" s="715" t="s">
        <v>21</v>
      </c>
      <c r="U41" s="716">
        <f t="shared" si="13"/>
        <v>100</v>
      </c>
      <c r="V41" s="715" t="s">
        <v>21</v>
      </c>
      <c r="W41" s="716">
        <f t="shared" si="14"/>
        <v>100</v>
      </c>
      <c r="X41" s="717"/>
      <c r="Y41" s="3328"/>
      <c r="Z41" s="718"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9"/>
      <c r="M42" s="2943"/>
      <c r="N42" s="2943"/>
      <c r="O42" s="2943"/>
      <c r="P42" s="3326"/>
      <c r="Q42" s="1534" t="str">
        <f t="shared" si="11"/>
        <v>内部装修</v>
      </c>
      <c r="R42" s="712" t="s">
        <v>21</v>
      </c>
      <c r="S42" s="713">
        <f t="shared" si="12"/>
        <v>100</v>
      </c>
      <c r="T42" s="712" t="s">
        <v>21</v>
      </c>
      <c r="U42" s="713">
        <f t="shared" si="13"/>
        <v>100</v>
      </c>
      <c r="V42" s="712" t="s">
        <v>21</v>
      </c>
      <c r="W42" s="713">
        <f t="shared" si="14"/>
        <v>100</v>
      </c>
      <c r="X42" s="1537"/>
      <c r="Y42" s="3328"/>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9"/>
      <c r="M43" s="2943"/>
      <c r="N43" s="2943"/>
      <c r="O43" s="2943"/>
      <c r="P43" s="3326"/>
      <c r="Q43" s="1534" t="str">
        <f t="shared" si="11"/>
        <v>内部装修维护情况</v>
      </c>
      <c r="R43" s="712" t="s">
        <v>21</v>
      </c>
      <c r="S43" s="713">
        <f t="shared" si="12"/>
        <v>100</v>
      </c>
      <c r="T43" s="712" t="s">
        <v>21</v>
      </c>
      <c r="U43" s="713">
        <f t="shared" si="13"/>
        <v>100</v>
      </c>
      <c r="V43" s="712" t="s">
        <v>21</v>
      </c>
      <c r="W43" s="713">
        <f t="shared" si="14"/>
        <v>100</v>
      </c>
      <c r="X43" s="1537"/>
      <c r="Y43" s="3328"/>
      <c r="Z43" s="1538" t="str">
        <f t="shared" si="18"/>
        <v>内部装修维护情况</v>
      </c>
      <c r="AA43" s="1535">
        <f t="shared" si="15"/>
        <v>1</v>
      </c>
      <c r="AB43" s="1535">
        <f t="shared" si="16"/>
        <v>1</v>
      </c>
      <c r="AC43" s="1535">
        <f t="shared" si="17"/>
        <v>1</v>
      </c>
    </row>
    <row r="44" spans="1:29" s="113"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4"/>
      <c r="M44" s="2945"/>
      <c r="N44" s="2945"/>
      <c r="O44" s="2945"/>
      <c r="P44" s="3326"/>
      <c r="Q44" s="1525">
        <f t="shared" si="11"/>
        <v>111</v>
      </c>
      <c r="R44" s="708" t="s">
        <v>21</v>
      </c>
      <c r="S44" s="709">
        <f t="shared" si="12"/>
        <v>100</v>
      </c>
      <c r="T44" s="708" t="s">
        <v>21</v>
      </c>
      <c r="U44" s="709">
        <f t="shared" si="13"/>
        <v>100</v>
      </c>
      <c r="V44" s="708" t="s">
        <v>21</v>
      </c>
      <c r="W44" s="709">
        <f t="shared" si="14"/>
        <v>100</v>
      </c>
      <c r="X44" s="710"/>
      <c r="Y44" s="3328"/>
      <c r="Z44" s="55">
        <f t="shared" si="18"/>
        <v>111</v>
      </c>
      <c r="AA44" s="711">
        <f t="shared" si="15"/>
        <v>1</v>
      </c>
      <c r="AB44" s="711">
        <f t="shared" si="16"/>
        <v>1</v>
      </c>
      <c r="AC44" s="711">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9"/>
      <c r="M45" s="2943"/>
      <c r="N45" s="2943"/>
      <c r="O45" s="2943"/>
      <c r="P45" s="3326"/>
      <c r="Q45" s="1534">
        <f t="shared" si="11"/>
        <v>111</v>
      </c>
      <c r="R45" s="712" t="s">
        <v>21</v>
      </c>
      <c r="S45" s="713">
        <f t="shared" si="12"/>
        <v>100</v>
      </c>
      <c r="T45" s="712" t="s">
        <v>21</v>
      </c>
      <c r="U45" s="713">
        <f t="shared" si="13"/>
        <v>100</v>
      </c>
      <c r="V45" s="712" t="s">
        <v>21</v>
      </c>
      <c r="W45" s="713">
        <f t="shared" si="14"/>
        <v>100</v>
      </c>
      <c r="X45" s="1537"/>
      <c r="Y45" s="3328"/>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9"/>
      <c r="M46" s="2943"/>
      <c r="N46" s="2943"/>
      <c r="O46" s="2943"/>
      <c r="P46" s="3327"/>
      <c r="Q46" s="1534">
        <f t="shared" si="11"/>
        <v>111</v>
      </c>
      <c r="R46" s="712" t="s">
        <v>20</v>
      </c>
      <c r="S46" s="713">
        <f t="shared" si="12"/>
        <v>100</v>
      </c>
      <c r="T46" s="712" t="s">
        <v>20</v>
      </c>
      <c r="U46" s="713">
        <f t="shared" si="13"/>
        <v>100</v>
      </c>
      <c r="V46" s="712" t="s">
        <v>20</v>
      </c>
      <c r="W46" s="713">
        <f t="shared" si="14"/>
        <v>100</v>
      </c>
      <c r="X46" s="1537"/>
      <c r="Y46" s="3329"/>
      <c r="Z46" s="1538">
        <f t="shared" si="18"/>
        <v>111</v>
      </c>
      <c r="AA46" s="1535">
        <f t="shared" si="15"/>
        <v>1</v>
      </c>
      <c r="AB46" s="1535">
        <f t="shared" si="16"/>
        <v>1</v>
      </c>
      <c r="AC46" s="1535">
        <f t="shared" si="17"/>
        <v>1</v>
      </c>
    </row>
    <row r="47" spans="1:29" ht="15">
      <c r="A47" s="437" t="s">
        <v>2398</v>
      </c>
      <c r="B47" s="438"/>
      <c r="C47" s="1314" t="s">
        <v>19</v>
      </c>
      <c r="D47" s="1315"/>
      <c r="E47" s="1316"/>
      <c r="F47" s="1317"/>
      <c r="G47" s="1318"/>
      <c r="H47" s="1319"/>
      <c r="I47" s="1316"/>
      <c r="J47" s="1319"/>
      <c r="K47" s="2098"/>
      <c r="L47" s="2951"/>
      <c r="M47" s="2952"/>
      <c r="N47" s="2943"/>
      <c r="O47" s="2952"/>
      <c r="P47" s="3321" t="str">
        <f>A47</f>
        <v>成交单价（元/平方米）</v>
      </c>
      <c r="Q47" s="3321"/>
      <c r="R47" s="3322">
        <f>E47</f>
        <v>0</v>
      </c>
      <c r="S47" s="3322"/>
      <c r="T47" s="3322">
        <f>G47</f>
        <v>0</v>
      </c>
      <c r="U47" s="3322"/>
      <c r="V47" s="3322">
        <f>I47</f>
        <v>0</v>
      </c>
      <c r="W47" s="3322"/>
      <c r="X47" s="697"/>
      <c r="Y47" s="719"/>
      <c r="Z47" s="697"/>
      <c r="AA47" s="697"/>
      <c r="AB47" s="697"/>
      <c r="AC47" s="697"/>
    </row>
    <row r="48" spans="1:29" ht="15.75" thickBot="1">
      <c r="A48" s="444" t="s">
        <v>2399</v>
      </c>
      <c r="B48" s="445"/>
      <c r="C48" s="1320" t="e">
        <f>R49</f>
        <v>#DIV/0!</v>
      </c>
      <c r="D48" s="2536" t="s">
        <v>2880</v>
      </c>
      <c r="E48" s="1321" t="e">
        <f>R48</f>
        <v>#DIV/0!</v>
      </c>
      <c r="F48" s="2537"/>
      <c r="G48" s="1320" t="e">
        <f>T48</f>
        <v>#DIV/0!</v>
      </c>
      <c r="H48" s="2537"/>
      <c r="I48" s="1321" t="e">
        <f>V48</f>
        <v>#DIV/0!</v>
      </c>
      <c r="J48" s="2537"/>
      <c r="K48" s="2538">
        <f>F48+H48+J48</f>
        <v>0</v>
      </c>
      <c r="L48" s="2951"/>
      <c r="M48" s="2952"/>
      <c r="N48" s="2952"/>
      <c r="O48" s="2952"/>
      <c r="P48" s="3321" t="str">
        <f>A48</f>
        <v>比较价值（元/平方米）</v>
      </c>
      <c r="Q48" s="3321"/>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697"/>
      <c r="Y48" s="697"/>
      <c r="Z48" s="697"/>
      <c r="AA48" s="697"/>
      <c r="AB48" s="697"/>
      <c r="AC48" s="697"/>
    </row>
    <row r="49" spans="1:29" ht="15.75" thickBot="1">
      <c r="A49" s="448" t="s">
        <v>2400</v>
      </c>
      <c r="B49" s="449"/>
      <c r="C49" s="1322" t="e">
        <f>R49</f>
        <v>#DIV/0!</v>
      </c>
      <c r="D49" s="1323"/>
      <c r="E49" s="1323"/>
      <c r="F49" s="1323"/>
      <c r="G49" s="1323"/>
      <c r="H49" s="1323"/>
      <c r="I49" s="1323"/>
      <c r="J49" s="1323"/>
      <c r="K49" s="2099"/>
      <c r="L49" s="2951"/>
      <c r="M49" s="2952"/>
      <c r="N49" s="2952"/>
      <c r="O49" s="2952"/>
      <c r="P49" s="3318" t="str">
        <f>A49</f>
        <v>估价对象XX用房的比较价值（楼面单价，元/平方米）</v>
      </c>
      <c r="Q49" s="3319"/>
      <c r="R49" s="3320" t="e">
        <f>IF(F1="售价",ROUND(IF(D48="简单平均",AVERAGE(R48:V48),R48*F48+T48*H48+V48*J48),0),ROUND(IF(D48="简单平均",AVERAGE(R48:V48),R48*F48+T48*H48+V48*J48),1))</f>
        <v>#DIV/0!</v>
      </c>
      <c r="S49" s="3320"/>
      <c r="T49" s="3320"/>
      <c r="U49" s="3320"/>
      <c r="V49" s="3320"/>
      <c r="W49" s="3320"/>
      <c r="X49" s="697"/>
      <c r="Y49" s="697"/>
      <c r="Z49" s="697"/>
      <c r="AA49" s="697"/>
      <c r="AB49" s="697"/>
      <c r="AC49" s="697"/>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1"/>
    </row>
    <row r="55" spans="1:29" s="458"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1" t="s">
        <v>2404</v>
      </c>
      <c r="B57" s="697"/>
      <c r="C57" s="702"/>
      <c r="D57" s="702"/>
      <c r="E57" s="702"/>
      <c r="F57" s="703"/>
      <c r="G57" s="703"/>
      <c r="H57" s="702"/>
      <c r="I57" s="702"/>
      <c r="J57" s="702"/>
      <c r="K57" s="1070"/>
      <c r="L57" s="1071"/>
      <c r="M57" s="1069"/>
      <c r="N57" s="1069"/>
      <c r="O57" s="1069"/>
      <c r="P57" s="2102"/>
      <c r="Q57" s="460"/>
    </row>
    <row r="58" spans="1:29" s="464" customFormat="1" ht="15">
      <c r="A58" s="461" t="s">
        <v>2405</v>
      </c>
      <c r="B58" s="462"/>
      <c r="C58" s="1346" t="str">
        <f>YEAR(C7)&amp;"-"&amp;MONTH(C7)</f>
        <v>2021-12</v>
      </c>
      <c r="D58" s="1345">
        <f>EDATE(C58,-1)</f>
        <v>44501</v>
      </c>
      <c r="E58" s="1345">
        <f>EDATE(D58,-1)</f>
        <v>44470</v>
      </c>
      <c r="F58" s="1345">
        <f t="shared" ref="F58:O58" si="19">EDATE(E58,-1)</f>
        <v>44440</v>
      </c>
      <c r="G58" s="1345">
        <f t="shared" si="19"/>
        <v>44409</v>
      </c>
      <c r="H58" s="1345">
        <f t="shared" si="19"/>
        <v>44378</v>
      </c>
      <c r="I58" s="1345">
        <f t="shared" si="19"/>
        <v>44348</v>
      </c>
      <c r="J58" s="1345">
        <f t="shared" si="19"/>
        <v>44317</v>
      </c>
      <c r="K58" s="1345">
        <f t="shared" si="19"/>
        <v>44287</v>
      </c>
      <c r="L58" s="1345">
        <f t="shared" si="19"/>
        <v>44256</v>
      </c>
      <c r="M58" s="1345">
        <f t="shared" si="19"/>
        <v>44228</v>
      </c>
      <c r="N58" s="1345">
        <f t="shared" si="19"/>
        <v>44197</v>
      </c>
      <c r="O58" s="1345">
        <f t="shared" si="19"/>
        <v>44166</v>
      </c>
      <c r="P58" s="1341"/>
    </row>
    <row r="59" spans="1:29" s="113" customFormat="1" ht="15">
      <c r="A59" s="465"/>
      <c r="B59" s="2103"/>
      <c r="C59" s="1343">
        <v>100</v>
      </c>
      <c r="D59" s="467"/>
      <c r="E59" s="468"/>
      <c r="F59" s="468"/>
      <c r="G59" s="468"/>
      <c r="H59" s="468"/>
      <c r="I59" s="468"/>
      <c r="J59" s="468"/>
      <c r="K59" s="468"/>
      <c r="L59" s="468"/>
      <c r="M59" s="469"/>
      <c r="N59" s="468"/>
      <c r="O59" s="469"/>
      <c r="P59" s="2104"/>
    </row>
    <row r="60" spans="1:29" s="113" customFormat="1" ht="15.75" thickBot="1">
      <c r="A60" s="471" t="s">
        <v>2406</v>
      </c>
      <c r="B60" s="472"/>
      <c r="C60" s="473"/>
      <c r="D60" s="474"/>
      <c r="E60" s="474"/>
      <c r="F60" s="474"/>
      <c r="G60" s="474"/>
      <c r="H60" s="474"/>
      <c r="I60" s="474"/>
      <c r="J60" s="474"/>
      <c r="K60" s="474"/>
      <c r="L60" s="474"/>
      <c r="M60" s="475"/>
      <c r="N60" s="474"/>
      <c r="O60" s="475"/>
      <c r="P60" s="2104"/>
      <c r="Q60" s="460"/>
    </row>
    <row r="61" spans="1:29" s="113" customFormat="1" ht="15">
      <c r="A61" s="477" t="s">
        <v>2407</v>
      </c>
      <c r="B61" s="466"/>
      <c r="C61" s="478" t="s">
        <v>2408</v>
      </c>
      <c r="D61" s="479"/>
      <c r="E61" s="479"/>
      <c r="F61" s="479"/>
      <c r="G61" s="479"/>
      <c r="H61" s="479"/>
      <c r="I61" s="479"/>
      <c r="J61" s="479"/>
      <c r="K61" s="479"/>
      <c r="L61" s="480"/>
      <c r="M61" s="481"/>
      <c r="N61" s="1061"/>
      <c r="O61" s="1061"/>
      <c r="P61" s="2105"/>
      <c r="Q61" s="460"/>
    </row>
    <row r="62" spans="1:29" s="113" customFormat="1" ht="15.75" thickBot="1">
      <c r="A62" s="477"/>
      <c r="B62" s="466"/>
      <c r="C62" s="467">
        <v>100</v>
      </c>
      <c r="D62" s="468"/>
      <c r="E62" s="468"/>
      <c r="F62" s="468"/>
      <c r="G62" s="468"/>
      <c r="H62" s="468"/>
      <c r="I62" s="468"/>
      <c r="J62" s="468"/>
      <c r="K62" s="468"/>
      <c r="L62" s="468"/>
      <c r="M62" s="470"/>
      <c r="N62" s="1061"/>
      <c r="O62" s="1061"/>
      <c r="P62" s="2104"/>
      <c r="Q62" s="460"/>
    </row>
    <row r="63" spans="1:29">
      <c r="A63" s="483" t="s">
        <v>2409</v>
      </c>
      <c r="B63" s="484" t="s">
        <v>2375</v>
      </c>
      <c r="C63" s="485">
        <f>C9</f>
        <v>0</v>
      </c>
      <c r="D63" s="486"/>
      <c r="E63" s="486"/>
      <c r="F63" s="486"/>
      <c r="G63" s="486"/>
      <c r="H63" s="486"/>
      <c r="I63" s="486"/>
      <c r="J63" s="486"/>
      <c r="K63" s="487"/>
      <c r="L63" s="488"/>
      <c r="M63" s="489"/>
      <c r="N63" s="1062"/>
      <c r="O63" s="1062"/>
      <c r="P63" s="2106"/>
      <c r="Q63" s="460"/>
    </row>
    <row r="64" spans="1:29" ht="15.75" thickBot="1">
      <c r="A64" s="490"/>
      <c r="B64" s="491"/>
      <c r="C64" s="492">
        <v>100</v>
      </c>
      <c r="D64" s="492"/>
      <c r="E64" s="492"/>
      <c r="F64" s="492"/>
      <c r="G64" s="492"/>
      <c r="H64" s="492"/>
      <c r="I64" s="492"/>
      <c r="J64" s="492"/>
      <c r="K64" s="492"/>
      <c r="L64" s="492"/>
      <c r="M64" s="493"/>
      <c r="N64" s="1063"/>
      <c r="O64" s="1063"/>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6"/>
      <c r="Q67" s="460"/>
    </row>
    <row r="68" spans="1:17" ht="15">
      <c r="A68" s="490"/>
      <c r="B68" s="504"/>
      <c r="C68" s="505"/>
      <c r="D68" s="505"/>
      <c r="E68" s="505"/>
      <c r="F68" s="505"/>
      <c r="G68" s="505"/>
      <c r="H68" s="505"/>
      <c r="I68" s="505"/>
      <c r="J68" s="505"/>
      <c r="K68" s="506"/>
      <c r="L68" s="507"/>
      <c r="M68" s="508"/>
      <c r="N68" s="1062"/>
      <c r="O68" s="1062"/>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6"/>
      <c r="Q69" s="460"/>
    </row>
    <row r="70" spans="1:17" s="429" customFormat="1" ht="15.75" thickTop="1">
      <c r="A70" s="509"/>
      <c r="B70" s="494">
        <f>B12</f>
        <v>111</v>
      </c>
      <c r="C70" s="510"/>
      <c r="D70" s="510"/>
      <c r="E70" s="510"/>
      <c r="F70" s="510"/>
      <c r="G70" s="510"/>
      <c r="H70" s="511"/>
      <c r="I70" s="511"/>
      <c r="J70" s="511"/>
      <c r="K70" s="511"/>
      <c r="L70" s="512"/>
      <c r="M70" s="513"/>
      <c r="N70" s="1064"/>
      <c r="O70" s="1064"/>
      <c r="P70" s="2107"/>
      <c r="Q70" s="515"/>
    </row>
    <row r="71" spans="1:17" s="429" customFormat="1" ht="15.75" thickBot="1">
      <c r="A71" s="509"/>
      <c r="B71" s="499"/>
      <c r="C71" s="516"/>
      <c r="D71" s="492"/>
      <c r="E71" s="492"/>
      <c r="F71" s="492"/>
      <c r="G71" s="492"/>
      <c r="H71" s="492"/>
      <c r="I71" s="492"/>
      <c r="J71" s="492"/>
      <c r="K71" s="492"/>
      <c r="L71" s="492"/>
      <c r="M71" s="493"/>
      <c r="N71" s="1063"/>
      <c r="O71" s="1063"/>
      <c r="P71" s="2107"/>
      <c r="Q71" s="515"/>
    </row>
    <row r="72" spans="1:17" s="429" customFormat="1" ht="15.75" thickTop="1">
      <c r="A72" s="509"/>
      <c r="B72" s="494">
        <f>B13</f>
        <v>111</v>
      </c>
      <c r="C72" s="510"/>
      <c r="D72" s="510"/>
      <c r="E72" s="510"/>
      <c r="F72" s="510"/>
      <c r="G72" s="510"/>
      <c r="H72" s="511"/>
      <c r="I72" s="511"/>
      <c r="J72" s="511"/>
      <c r="K72" s="511"/>
      <c r="L72" s="512"/>
      <c r="M72" s="513"/>
      <c r="N72" s="1064"/>
      <c r="O72" s="1064"/>
      <c r="P72" s="2108"/>
      <c r="Q72" s="517"/>
    </row>
    <row r="73" spans="1:17" s="429" customFormat="1" ht="15.75" thickBot="1">
      <c r="A73" s="509"/>
      <c r="B73" s="499"/>
      <c r="C73" s="516"/>
      <c r="D73" s="516"/>
      <c r="E73" s="516"/>
      <c r="F73" s="516"/>
      <c r="G73" s="516"/>
      <c r="H73" s="518"/>
      <c r="I73" s="518"/>
      <c r="J73" s="518"/>
      <c r="K73" s="518"/>
      <c r="L73" s="518"/>
      <c r="M73" s="519"/>
      <c r="N73" s="1064"/>
      <c r="O73" s="1064"/>
      <c r="P73" s="2107"/>
      <c r="Q73" s="515"/>
    </row>
    <row r="74" spans="1:17" s="429" customFormat="1" ht="15.75" thickTop="1">
      <c r="A74" s="509"/>
      <c r="B74" s="502">
        <f>B14</f>
        <v>111</v>
      </c>
      <c r="C74" s="510"/>
      <c r="D74" s="510"/>
      <c r="E74" s="510"/>
      <c r="F74" s="510"/>
      <c r="G74" s="479"/>
      <c r="H74" s="520"/>
      <c r="I74" s="520"/>
      <c r="J74" s="520"/>
      <c r="K74" s="520"/>
      <c r="L74" s="521"/>
      <c r="M74" s="522"/>
      <c r="N74" s="1064"/>
      <c r="O74" s="1064"/>
      <c r="P74" s="2109"/>
      <c r="Q74" s="515"/>
    </row>
    <row r="75" spans="1:17" s="429" customFormat="1" ht="15.75" thickBot="1">
      <c r="A75" s="524"/>
      <c r="B75" s="525"/>
      <c r="C75" s="526"/>
      <c r="D75" s="526"/>
      <c r="E75" s="526"/>
      <c r="F75" s="526"/>
      <c r="G75" s="526"/>
      <c r="H75" s="527"/>
      <c r="I75" s="527"/>
      <c r="J75" s="527"/>
      <c r="K75" s="527"/>
      <c r="L75" s="527"/>
      <c r="M75" s="528"/>
      <c r="N75" s="1064"/>
      <c r="O75" s="1064"/>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2"/>
      <c r="O76" s="1062"/>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2"/>
      <c r="O78" s="1062"/>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2"/>
      <c r="O80" s="1062"/>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3"/>
      <c r="O82" s="1063"/>
      <c r="P82" s="2106"/>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63"/>
      <c r="O83" s="1063"/>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2"/>
      <c r="O84" s="1062"/>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6"/>
      <c r="Q85" s="460"/>
    </row>
    <row r="86" spans="1:17" s="113" customFormat="1" ht="15.75" thickTop="1">
      <c r="A86" s="535"/>
      <c r="B86" s="494" t="s">
        <v>2431</v>
      </c>
      <c r="C86" s="510"/>
      <c r="D86" s="510"/>
      <c r="E86" s="510"/>
      <c r="F86" s="510"/>
      <c r="G86" s="510"/>
      <c r="H86" s="510"/>
      <c r="I86" s="510"/>
      <c r="J86" s="510"/>
      <c r="K86" s="510"/>
      <c r="L86" s="536"/>
      <c r="M86" s="537"/>
      <c r="N86" s="1061"/>
      <c r="O86" s="1061"/>
      <c r="P86" s="210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6"/>
      <c r="Q87" s="460"/>
    </row>
    <row r="88" spans="1:17" s="113" customFormat="1" ht="15.75" thickTop="1">
      <c r="A88" s="535"/>
      <c r="B88" s="494" t="s">
        <v>2432</v>
      </c>
      <c r="C88" s="510"/>
      <c r="D88" s="510"/>
      <c r="E88" s="510"/>
      <c r="F88" s="2111"/>
      <c r="G88" s="510"/>
      <c r="H88" s="510"/>
      <c r="I88" s="510"/>
      <c r="J88" s="510"/>
      <c r="K88" s="510"/>
      <c r="L88" s="510"/>
      <c r="M88" s="537"/>
      <c r="N88" s="1061"/>
      <c r="O88" s="1061"/>
      <c r="P88" s="210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6"/>
      <c r="Q89" s="460"/>
    </row>
    <row r="90" spans="1:17" s="429" customFormat="1" ht="15.75" thickTop="1">
      <c r="A90" s="509"/>
      <c r="B90" s="494">
        <f>B27</f>
        <v>111</v>
      </c>
      <c r="C90" s="510"/>
      <c r="D90" s="510"/>
      <c r="E90" s="510"/>
      <c r="F90" s="510"/>
      <c r="G90" s="510"/>
      <c r="H90" s="511"/>
      <c r="I90" s="511"/>
      <c r="J90" s="511"/>
      <c r="K90" s="511"/>
      <c r="L90" s="512"/>
      <c r="M90" s="513"/>
      <c r="N90" s="1064"/>
      <c r="O90" s="1064"/>
      <c r="P90" s="2107"/>
      <c r="Q90" s="515"/>
    </row>
    <row r="91" spans="1:17" s="429" customFormat="1" ht="15.75" thickBot="1">
      <c r="A91" s="509"/>
      <c r="B91" s="499"/>
      <c r="C91" s="516"/>
      <c r="D91" s="516"/>
      <c r="E91" s="516"/>
      <c r="F91" s="516"/>
      <c r="G91" s="516"/>
      <c r="H91" s="518"/>
      <c r="I91" s="518"/>
      <c r="J91" s="518"/>
      <c r="K91" s="518"/>
      <c r="L91" s="518"/>
      <c r="M91" s="519"/>
      <c r="N91" s="1064"/>
      <c r="O91" s="1064"/>
      <c r="P91" s="2107"/>
      <c r="Q91" s="515"/>
    </row>
    <row r="92" spans="1:17" ht="15.75" thickTop="1">
      <c r="A92" s="490"/>
      <c r="B92" s="494">
        <f>B28</f>
        <v>111</v>
      </c>
      <c r="C92" s="510"/>
      <c r="D92" s="510"/>
      <c r="E92" s="510"/>
      <c r="F92" s="510"/>
      <c r="G92" s="539"/>
      <c r="H92" s="539"/>
      <c r="I92" s="539"/>
      <c r="J92" s="539"/>
      <c r="K92" s="540"/>
      <c r="L92" s="541"/>
      <c r="M92" s="542"/>
      <c r="N92" s="1062"/>
      <c r="O92" s="1062"/>
      <c r="P92" s="2106"/>
      <c r="Q92" s="460"/>
    </row>
    <row r="93" spans="1:17" ht="15.75" thickBot="1">
      <c r="A93" s="490"/>
      <c r="B93" s="499"/>
      <c r="C93" s="516"/>
      <c r="D93" s="492"/>
      <c r="E93" s="492"/>
      <c r="F93" s="492"/>
      <c r="G93" s="492"/>
      <c r="H93" s="492"/>
      <c r="I93" s="492"/>
      <c r="J93" s="492"/>
      <c r="K93" s="492"/>
      <c r="L93" s="492"/>
      <c r="M93" s="493"/>
      <c r="N93" s="1063"/>
      <c r="O93" s="1063"/>
      <c r="P93" s="2106"/>
      <c r="Q93" s="460"/>
    </row>
    <row r="94" spans="1:17" ht="15.75" thickTop="1">
      <c r="A94" s="490"/>
      <c r="B94" s="494">
        <f>B29</f>
        <v>111</v>
      </c>
      <c r="C94" s="510"/>
      <c r="D94" s="510"/>
      <c r="E94" s="510"/>
      <c r="F94" s="510"/>
      <c r="G94" s="539"/>
      <c r="H94" s="539"/>
      <c r="I94" s="539"/>
      <c r="J94" s="539"/>
      <c r="K94" s="540"/>
      <c r="L94" s="541"/>
      <c r="M94" s="542"/>
      <c r="N94" s="1062"/>
      <c r="O94" s="1062"/>
      <c r="P94" s="2106"/>
      <c r="Q94" s="460"/>
    </row>
    <row r="95" spans="1:17" ht="15.75" thickBot="1">
      <c r="A95" s="490"/>
      <c r="B95" s="499"/>
      <c r="C95" s="516"/>
      <c r="D95" s="516"/>
      <c r="E95" s="516"/>
      <c r="F95" s="516"/>
      <c r="G95" s="492"/>
      <c r="H95" s="492"/>
      <c r="I95" s="492"/>
      <c r="J95" s="492"/>
      <c r="K95" s="492"/>
      <c r="L95" s="492"/>
      <c r="M95" s="493"/>
      <c r="N95" s="1063"/>
      <c r="O95" s="1063"/>
      <c r="P95" s="2106"/>
      <c r="Q95" s="460"/>
    </row>
    <row r="96" spans="1:17" ht="15.75" thickTop="1">
      <c r="A96" s="490"/>
      <c r="B96" s="494">
        <f>B30</f>
        <v>111</v>
      </c>
      <c r="C96" s="510"/>
      <c r="D96" s="510"/>
      <c r="E96" s="510"/>
      <c r="F96" s="510"/>
      <c r="G96" s="539"/>
      <c r="H96" s="539"/>
      <c r="I96" s="539"/>
      <c r="J96" s="539"/>
      <c r="K96" s="540"/>
      <c r="L96" s="541"/>
      <c r="M96" s="542"/>
      <c r="N96" s="1062"/>
      <c r="O96" s="1062"/>
      <c r="P96" s="2106"/>
      <c r="Q96" s="460"/>
    </row>
    <row r="97" spans="1:17" ht="15.75" thickBot="1">
      <c r="A97" s="490"/>
      <c r="B97" s="499"/>
      <c r="C97" s="526"/>
      <c r="D97" s="526"/>
      <c r="E97" s="526"/>
      <c r="F97" s="526"/>
      <c r="G97" s="492"/>
      <c r="H97" s="492"/>
      <c r="I97" s="492"/>
      <c r="J97" s="492"/>
      <c r="K97" s="492"/>
      <c r="L97" s="492"/>
      <c r="M97" s="493"/>
      <c r="N97" s="1063"/>
      <c r="O97" s="1063"/>
      <c r="P97" s="2106"/>
      <c r="Q97" s="460"/>
    </row>
    <row r="98" spans="1:17" ht="15.75" thickTop="1">
      <c r="A98" s="490"/>
      <c r="B98" s="502">
        <f>B31</f>
        <v>111</v>
      </c>
      <c r="C98" s="543"/>
      <c r="D98" s="543"/>
      <c r="E98" s="543"/>
      <c r="F98" s="543"/>
      <c r="G98" s="543"/>
      <c r="H98" s="543"/>
      <c r="I98" s="543"/>
      <c r="J98" s="543"/>
      <c r="K98" s="544"/>
      <c r="L98" s="545"/>
      <c r="M98" s="546"/>
      <c r="N98" s="1062"/>
      <c r="O98" s="1062"/>
      <c r="P98" s="2106"/>
      <c r="Q98" s="460"/>
    </row>
    <row r="99" spans="1:17" ht="15.75" thickBot="1">
      <c r="A99" s="2112"/>
      <c r="B99" s="525"/>
      <c r="C99" s="547"/>
      <c r="D99" s="547"/>
      <c r="E99" s="547"/>
      <c r="F99" s="547"/>
      <c r="G99" s="547"/>
      <c r="H99" s="547"/>
      <c r="I99" s="547"/>
      <c r="J99" s="547"/>
      <c r="K99" s="547"/>
      <c r="L99" s="547"/>
      <c r="M99" s="548"/>
      <c r="N99" s="1063"/>
      <c r="O99" s="1063"/>
      <c r="P99" s="2106"/>
      <c r="Q99" s="460"/>
    </row>
    <row r="100" spans="1:17">
      <c r="A100" s="483" t="s">
        <v>2384</v>
      </c>
      <c r="B100" s="484" t="s">
        <v>2433</v>
      </c>
      <c r="C100" s="486"/>
      <c r="D100" s="486"/>
      <c r="E100" s="486"/>
      <c r="F100" s="486"/>
      <c r="G100" s="486"/>
      <c r="H100" s="486"/>
      <c r="I100" s="486"/>
      <c r="J100" s="486"/>
      <c r="K100" s="487"/>
      <c r="L100" s="488"/>
      <c r="M100" s="489"/>
      <c r="N100" s="1062"/>
      <c r="O100" s="1062"/>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6"/>
      <c r="Q102" s="460"/>
    </row>
    <row r="103" spans="1:17" s="429" customFormat="1">
      <c r="A103" s="549"/>
      <c r="B103" s="550"/>
      <c r="C103" s="551"/>
      <c r="D103" s="551"/>
      <c r="E103" s="551"/>
      <c r="F103" s="551"/>
      <c r="G103" s="551"/>
      <c r="H103" s="551"/>
      <c r="I103" s="551"/>
      <c r="J103" s="552"/>
      <c r="K103" s="552"/>
      <c r="L103" s="553"/>
      <c r="M103" s="554"/>
      <c r="N103" s="1064"/>
      <c r="O103" s="1064"/>
      <c r="P103" s="2107"/>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7"/>
      <c r="Q104" s="515"/>
    </row>
    <row r="105" spans="1:17" ht="15" thickTop="1">
      <c r="A105" s="555"/>
      <c r="B105" s="494" t="s">
        <v>2435</v>
      </c>
      <c r="C105" s="510"/>
      <c r="D105" s="510"/>
      <c r="E105" s="539"/>
      <c r="F105" s="539"/>
      <c r="G105" s="539"/>
      <c r="H105" s="539"/>
      <c r="I105" s="539"/>
      <c r="J105" s="539"/>
      <c r="K105" s="540"/>
      <c r="L105" s="541"/>
      <c r="M105" s="542"/>
      <c r="N105" s="1062"/>
      <c r="O105" s="1062"/>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6"/>
      <c r="Q106" s="460"/>
    </row>
    <row r="107" spans="1:17" ht="15" thickTop="1">
      <c r="A107" s="555"/>
      <c r="B107" s="494" t="s">
        <v>2436</v>
      </c>
      <c r="C107" s="539"/>
      <c r="D107" s="539"/>
      <c r="E107" s="539"/>
      <c r="F107" s="539"/>
      <c r="G107" s="539"/>
      <c r="H107" s="539"/>
      <c r="I107" s="539"/>
      <c r="J107" s="539"/>
      <c r="K107" s="540"/>
      <c r="L107" s="541"/>
      <c r="M107" s="542"/>
      <c r="N107" s="1062"/>
      <c r="O107" s="1062"/>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6"/>
      <c r="Q108" s="460"/>
    </row>
    <row r="109" spans="1:17" ht="15" thickTop="1">
      <c r="A109" s="555"/>
      <c r="B109" s="494" t="s">
        <v>2437</v>
      </c>
      <c r="C109" s="510"/>
      <c r="D109" s="510"/>
      <c r="E109" s="510"/>
      <c r="F109" s="539"/>
      <c r="G109" s="539"/>
      <c r="H109" s="539"/>
      <c r="I109" s="539"/>
      <c r="J109" s="539"/>
      <c r="K109" s="540"/>
      <c r="L109" s="541"/>
      <c r="M109" s="542"/>
      <c r="N109" s="1062"/>
      <c r="O109" s="1062"/>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7"/>
      <c r="Q113" s="515"/>
    </row>
    <row r="114" spans="1:17" ht="15" thickTop="1">
      <c r="A114" s="555"/>
      <c r="B114" s="494" t="s">
        <v>2438</v>
      </c>
      <c r="C114" s="510"/>
      <c r="D114" s="510"/>
      <c r="E114" s="539"/>
      <c r="F114" s="539"/>
      <c r="G114" s="539"/>
      <c r="H114" s="539"/>
      <c r="I114" s="539"/>
      <c r="J114" s="539"/>
      <c r="K114" s="540"/>
      <c r="L114" s="541"/>
      <c r="M114" s="542"/>
      <c r="N114" s="1062"/>
      <c r="O114" s="1062"/>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6"/>
      <c r="Q115" s="460"/>
    </row>
    <row r="116" spans="1:17" ht="15" thickTop="1">
      <c r="A116" s="555"/>
      <c r="B116" s="494" t="s">
        <v>2439</v>
      </c>
      <c r="C116" s="510"/>
      <c r="D116" s="510"/>
      <c r="E116" s="510"/>
      <c r="F116" s="510"/>
      <c r="G116" s="510"/>
      <c r="H116" s="539"/>
      <c r="I116" s="539"/>
      <c r="J116" s="539"/>
      <c r="K116" s="540"/>
      <c r="L116" s="541"/>
      <c r="M116" s="542"/>
      <c r="N116" s="1062"/>
      <c r="O116" s="1062"/>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6"/>
      <c r="Q117" s="460"/>
    </row>
    <row r="118" spans="1:17" ht="15" thickTop="1">
      <c r="A118" s="555"/>
      <c r="B118" s="494" t="s">
        <v>2440</v>
      </c>
      <c r="C118" s="539"/>
      <c r="D118" s="539"/>
      <c r="E118" s="539"/>
      <c r="F118" s="539"/>
      <c r="G118" s="539"/>
      <c r="H118" s="539"/>
      <c r="I118" s="539"/>
      <c r="J118" s="539"/>
      <c r="K118" s="540"/>
      <c r="L118" s="541"/>
      <c r="M118" s="542"/>
      <c r="N118" s="1062"/>
      <c r="O118" s="1062"/>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6"/>
      <c r="Q119" s="460"/>
    </row>
    <row r="120" spans="1:17" s="429" customFormat="1" ht="28.5" thickTop="1">
      <c r="A120" s="549"/>
      <c r="B120" s="494" t="s">
        <v>2395</v>
      </c>
      <c r="C120" s="510"/>
      <c r="D120" s="510"/>
      <c r="E120" s="510"/>
      <c r="F120" s="510"/>
      <c r="G120" s="510"/>
      <c r="H120" s="510"/>
      <c r="I120" s="510"/>
      <c r="J120" s="510"/>
      <c r="K120" s="510"/>
      <c r="L120" s="536"/>
      <c r="M120" s="537"/>
      <c r="N120" s="1064"/>
      <c r="O120" s="1064"/>
      <c r="P120" s="2107"/>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7"/>
      <c r="Q121" s="515"/>
    </row>
    <row r="122" spans="1:17" ht="15" thickTop="1">
      <c r="A122" s="555"/>
      <c r="B122" s="494" t="s">
        <v>2441</v>
      </c>
      <c r="C122" s="510"/>
      <c r="D122" s="510"/>
      <c r="E122" s="510"/>
      <c r="F122" s="539"/>
      <c r="G122" s="539"/>
      <c r="H122" s="539"/>
      <c r="I122" s="539"/>
      <c r="J122" s="539"/>
      <c r="K122" s="540"/>
      <c r="L122" s="541"/>
      <c r="M122" s="542"/>
      <c r="N122" s="1062"/>
      <c r="O122" s="1062"/>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6"/>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7"/>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7"/>
      <c r="Q127" s="515"/>
    </row>
    <row r="128" spans="1:17" ht="15" thickTop="1">
      <c r="A128" s="555"/>
      <c r="B128" s="494">
        <f>B45</f>
        <v>111</v>
      </c>
      <c r="C128" s="510"/>
      <c r="D128" s="510"/>
      <c r="E128" s="510"/>
      <c r="F128" s="510"/>
      <c r="G128" s="539"/>
      <c r="H128" s="539"/>
      <c r="I128" s="539"/>
      <c r="J128" s="539"/>
      <c r="K128" s="540"/>
      <c r="L128" s="541"/>
      <c r="M128" s="542"/>
      <c r="N128" s="1062"/>
      <c r="O128" s="1062"/>
      <c r="P128" s="2106"/>
      <c r="Q128" s="460"/>
    </row>
    <row r="129" spans="1:17" ht="15.75" thickBot="1">
      <c r="A129" s="490"/>
      <c r="B129" s="499"/>
      <c r="C129" s="516"/>
      <c r="D129" s="516"/>
      <c r="E129" s="516"/>
      <c r="F129" s="516"/>
      <c r="G129" s="492"/>
      <c r="H129" s="492"/>
      <c r="I129" s="492"/>
      <c r="J129" s="492"/>
      <c r="K129" s="492"/>
      <c r="L129" s="492"/>
      <c r="M129" s="493"/>
      <c r="N129" s="1063"/>
      <c r="O129" s="1063"/>
      <c r="P129" s="2106"/>
      <c r="Q129" s="460"/>
    </row>
    <row r="130" spans="1:17" ht="15" thickTop="1">
      <c r="A130" s="555"/>
      <c r="B130" s="502">
        <f>B46</f>
        <v>111</v>
      </c>
      <c r="C130" s="510"/>
      <c r="D130" s="510"/>
      <c r="E130" s="510"/>
      <c r="F130" s="510"/>
      <c r="G130" s="543"/>
      <c r="H130" s="543"/>
      <c r="I130" s="543"/>
      <c r="J130" s="543"/>
      <c r="K130" s="479"/>
      <c r="L130" s="480"/>
      <c r="M130" s="546"/>
      <c r="N130" s="1062"/>
      <c r="O130" s="1062"/>
      <c r="P130" s="2106"/>
      <c r="Q130" s="460"/>
    </row>
    <row r="131" spans="1:17" ht="15.75" thickBot="1">
      <c r="A131" s="2112"/>
      <c r="B131" s="525"/>
      <c r="C131" s="526"/>
      <c r="D131" s="526"/>
      <c r="E131" s="526"/>
      <c r="F131" s="526"/>
      <c r="G131" s="547"/>
      <c r="H131" s="547"/>
      <c r="I131" s="547"/>
      <c r="J131" s="547"/>
      <c r="K131" s="547"/>
      <c r="L131" s="547"/>
      <c r="M131" s="548"/>
      <c r="N131" s="1063"/>
      <c r="O131" s="1063"/>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6">
        <v>6</v>
      </c>
      <c r="C139" s="997">
        <v>96</v>
      </c>
      <c r="D139" s="2124" t="s">
        <v>2452</v>
      </c>
      <c r="E139" s="998">
        <v>100</v>
      </c>
      <c r="F139" s="999">
        <v>102.5</v>
      </c>
      <c r="G139" s="2124" t="s">
        <v>2452</v>
      </c>
      <c r="H139" s="1000">
        <v>105</v>
      </c>
      <c r="I139" s="2125" t="s">
        <v>2453</v>
      </c>
      <c r="J139" s="997">
        <v>20</v>
      </c>
      <c r="K139" s="1001">
        <f>C145/(J139-2)</f>
        <v>4.0555555555555553E-3</v>
      </c>
    </row>
    <row r="140" spans="1:17" ht="15">
      <c r="B140" s="1002">
        <v>5</v>
      </c>
      <c r="C140" s="1003">
        <v>100</v>
      </c>
      <c r="D140" s="1003"/>
      <c r="E140" s="1004"/>
      <c r="F140" s="1005">
        <v>102</v>
      </c>
      <c r="G140" s="1003"/>
      <c r="H140" s="1006"/>
      <c r="I140" s="2126" t="s">
        <v>2454</v>
      </c>
      <c r="J140" s="276">
        <f>ROUNDUP((J139-1)/2,0)</f>
        <v>10</v>
      </c>
      <c r="K140" s="1007">
        <v>100</v>
      </c>
    </row>
    <row r="141" spans="1:17" ht="15">
      <c r="B141" s="1002">
        <v>4</v>
      </c>
      <c r="C141" s="1003">
        <v>102</v>
      </c>
      <c r="D141" s="1003"/>
      <c r="E141" s="1004"/>
      <c r="F141" s="1005">
        <v>101.5</v>
      </c>
      <c r="G141" s="1003"/>
      <c r="H141" s="1006"/>
      <c r="I141" s="2126" t="s">
        <v>2455</v>
      </c>
      <c r="J141" s="276">
        <v>1</v>
      </c>
      <c r="K141" s="1008">
        <f>ROUND(100+(J141-J140)*K139*100,1)</f>
        <v>96.4</v>
      </c>
    </row>
    <row r="142" spans="1:17" ht="15">
      <c r="B142" s="1002">
        <v>3</v>
      </c>
      <c r="C142" s="1003">
        <v>103</v>
      </c>
      <c r="D142" s="1003"/>
      <c r="E142" s="1004"/>
      <c r="F142" s="1005">
        <v>101</v>
      </c>
      <c r="G142" s="1003"/>
      <c r="H142" s="1006"/>
      <c r="I142" s="2126" t="s">
        <v>2456</v>
      </c>
      <c r="J142" s="276">
        <f>J139</f>
        <v>20</v>
      </c>
      <c r="K142" s="1009">
        <v>95</v>
      </c>
    </row>
    <row r="143" spans="1:17" ht="15">
      <c r="B143" s="1002">
        <v>2</v>
      </c>
      <c r="C143" s="1003">
        <v>100</v>
      </c>
      <c r="D143" s="1003"/>
      <c r="E143" s="1004"/>
      <c r="F143" s="1005">
        <v>100.5</v>
      </c>
      <c r="G143" s="1003"/>
      <c r="H143" s="1006"/>
      <c r="I143" s="2126" t="s">
        <v>2457</v>
      </c>
      <c r="J143" s="1003">
        <v>15</v>
      </c>
      <c r="K143" s="1008">
        <f>ROUND(100+(J143-J140)*K139*100,1)</f>
        <v>102</v>
      </c>
    </row>
    <row r="144" spans="1:17" ht="15">
      <c r="B144" s="1002">
        <v>1</v>
      </c>
      <c r="C144" s="1003">
        <v>98</v>
      </c>
      <c r="D144" s="2127" t="s">
        <v>2458</v>
      </c>
      <c r="E144" s="1004">
        <v>102</v>
      </c>
      <c r="F144" s="1010">
        <v>100</v>
      </c>
      <c r="G144" s="2127" t="s">
        <v>2458</v>
      </c>
      <c r="H144" s="1006">
        <v>105</v>
      </c>
      <c r="I144" s="2126" t="s">
        <v>2457</v>
      </c>
      <c r="J144" s="1003">
        <v>18</v>
      </c>
      <c r="K144" s="1008">
        <f>ROUND(100+(J144-J140)*K139*100,1)</f>
        <v>103.2</v>
      </c>
    </row>
    <row r="145" spans="2:11" ht="15.75" thickBot="1">
      <c r="B145" s="2128" t="s">
        <v>2459</v>
      </c>
      <c r="C145" s="1011">
        <f>ROUND(MAX(C139:C144)/MIN(C139:C144)-1,3)</f>
        <v>7.2999999999999995E-2</v>
      </c>
      <c r="D145" s="1012"/>
      <c r="E145" s="1012"/>
      <c r="F145" s="2129" t="s">
        <v>2460</v>
      </c>
      <c r="G145" s="2130"/>
      <c r="H145" s="2131"/>
      <c r="I145" s="2132" t="s">
        <v>2457</v>
      </c>
      <c r="J145" s="1013">
        <v>8</v>
      </c>
      <c r="K145" s="1014">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5" zoomScaleNormal="70" zoomScaleSheetLayoutView="85" workbookViewId="0">
      <selection activeCell="C120" sqref="C120"/>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t="s">
        <v>3072</v>
      </c>
      <c r="E1" s="2541"/>
      <c r="F1" s="2063" t="s">
        <v>3077</v>
      </c>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4">
        <f>IF(C2="——",ROUND(C49*D3/10000,0),ROUND(C49*D3/10000,0)-D2)</f>
        <v>541</v>
      </c>
      <c r="C2" s="2065" t="s">
        <v>70</v>
      </c>
      <c r="D2" s="1273" t="e">
        <f ca="1">SUMIF(INDIRECT("'"&amp;F2&amp;"'"&amp;"!A:A"),"承租人权益价值",INDIRECT("'"&amp;F2&amp;"'"&amp;"!c:c"))</f>
        <v>#REF!</v>
      </c>
      <c r="E2" s="2066" t="s">
        <v>2149</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7" customFormat="1" ht="28.5" customHeight="1" thickBot="1">
      <c r="A3" s="208" t="s">
        <v>2150</v>
      </c>
      <c r="B3" s="565">
        <f>IF(C2="——",C49,ROUND(B2*10000/D3,0))</f>
        <v>11862</v>
      </c>
      <c r="C3" s="359" t="s">
        <v>2465</v>
      </c>
      <c r="D3" s="358">
        <f>IF(D1="",'数据-汇总表'!E3,SUMIF('数据-汇总表'!$C19:$C33,D1,'数据-汇总表'!$E19:$E33))</f>
        <v>456.22</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60" t="s">
        <v>2466</v>
      </c>
      <c r="B4" s="361"/>
      <c r="C4" s="3304" t="s">
        <v>2467</v>
      </c>
      <c r="D4" s="3305"/>
      <c r="E4" s="3306" t="s">
        <v>2468</v>
      </c>
      <c r="F4" s="3307"/>
      <c r="G4" s="3304" t="s">
        <v>2469</v>
      </c>
      <c r="H4" s="3305"/>
      <c r="I4" s="3304" t="s">
        <v>2470</v>
      </c>
      <c r="J4" s="3305"/>
      <c r="K4" s="566" t="s">
        <v>2471</v>
      </c>
      <c r="L4" s="2942"/>
      <c r="M4" s="2943"/>
      <c r="N4" s="2943"/>
      <c r="O4" s="2943"/>
      <c r="P4" s="3308" t="s">
        <v>2472</v>
      </c>
      <c r="Q4" s="3309"/>
      <c r="R4" s="3291" t="s">
        <v>2468</v>
      </c>
      <c r="S4" s="3292"/>
      <c r="T4" s="3291" t="s">
        <v>2469</v>
      </c>
      <c r="U4" s="3292"/>
      <c r="V4" s="3316" t="s">
        <v>2470</v>
      </c>
      <c r="W4" s="3316"/>
      <c r="X4" s="1537"/>
      <c r="Y4" s="3291" t="s">
        <v>2472</v>
      </c>
      <c r="Z4" s="3292"/>
      <c r="AA4" s="3286" t="s">
        <v>2468</v>
      </c>
      <c r="AB4" s="3316" t="s">
        <v>2469</v>
      </c>
      <c r="AC4" s="3286" t="s">
        <v>2470</v>
      </c>
    </row>
    <row r="5" spans="1:29" ht="15">
      <c r="A5" s="363"/>
      <c r="B5" s="364"/>
      <c r="C5" s="3297" t="s">
        <v>2363</v>
      </c>
      <c r="D5" s="3298"/>
      <c r="E5" s="3332" t="s">
        <v>3117</v>
      </c>
      <c r="F5" s="3296"/>
      <c r="G5" s="3333" t="s">
        <v>3118</v>
      </c>
      <c r="H5" s="3298"/>
      <c r="I5" s="3333" t="s">
        <v>3119</v>
      </c>
      <c r="J5" s="3298"/>
      <c r="K5" s="566"/>
      <c r="L5" s="2942"/>
      <c r="M5" s="2943"/>
      <c r="N5" s="2943"/>
      <c r="O5" s="2943"/>
      <c r="P5" s="3310"/>
      <c r="Q5" s="3311"/>
      <c r="R5" s="3293"/>
      <c r="S5" s="3294"/>
      <c r="T5" s="3293"/>
      <c r="U5" s="3294"/>
      <c r="V5" s="3316"/>
      <c r="W5" s="3316"/>
      <c r="X5" s="1537"/>
      <c r="Y5" s="3293"/>
      <c r="Z5" s="3294"/>
      <c r="AA5" s="3287"/>
      <c r="AB5" s="3316"/>
      <c r="AC5" s="3287"/>
    </row>
    <row r="6" spans="1:29" ht="15.75" thickBot="1">
      <c r="A6" s="365"/>
      <c r="B6" s="366"/>
      <c r="C6" s="3299" t="s">
        <v>2367</v>
      </c>
      <c r="D6" s="3300"/>
      <c r="E6" s="3301" t="s">
        <v>2367</v>
      </c>
      <c r="F6" s="3302"/>
      <c r="G6" s="3299" t="s">
        <v>2367</v>
      </c>
      <c r="H6" s="3300"/>
      <c r="I6" s="3299" t="s">
        <v>2367</v>
      </c>
      <c r="J6" s="3300"/>
      <c r="K6" s="566" t="s">
        <v>2368</v>
      </c>
      <c r="L6" s="2942"/>
      <c r="M6" s="2943"/>
      <c r="N6" s="2943"/>
      <c r="O6" s="2943"/>
      <c r="P6" s="3312"/>
      <c r="Q6" s="3313"/>
      <c r="R6" s="3293"/>
      <c r="S6" s="3294"/>
      <c r="T6" s="3314"/>
      <c r="U6" s="3315"/>
      <c r="V6" s="3316"/>
      <c r="W6" s="3316"/>
      <c r="X6" s="1537"/>
      <c r="Y6" s="3314"/>
      <c r="Z6" s="3315"/>
      <c r="AA6" s="3288"/>
      <c r="AB6" s="3316"/>
      <c r="AC6" s="3288"/>
    </row>
    <row r="7" spans="1:29" s="113" customFormat="1" ht="15.75" thickBot="1">
      <c r="A7" s="367" t="s">
        <v>2369</v>
      </c>
      <c r="B7" s="368"/>
      <c r="C7" s="369">
        <f>'数据-取费表'!B2</f>
        <v>44544</v>
      </c>
      <c r="D7" s="370">
        <v>100</v>
      </c>
      <c r="E7" s="371">
        <f>C7</f>
        <v>44544</v>
      </c>
      <c r="F7" s="372">
        <f>SUMIF(58:58,YEAR(E7)&amp;"-"&amp;MONTH(E7),59:59)</f>
        <v>100</v>
      </c>
      <c r="G7" s="371">
        <f>C7</f>
        <v>44544</v>
      </c>
      <c r="H7" s="370">
        <f>SUMIF(58:58,YEAR(G7)&amp;"-"&amp;MONTH(G7),59:59)</f>
        <v>100</v>
      </c>
      <c r="I7" s="371">
        <f>C7</f>
        <v>44544</v>
      </c>
      <c r="J7" s="370">
        <f>SUMIF(58:58,YEAR(I7)&amp;"-"&amp;MONTH(I7),59:59)</f>
        <v>100</v>
      </c>
      <c r="K7" s="567"/>
      <c r="L7" s="2944"/>
      <c r="M7" s="2945"/>
      <c r="N7" s="2945"/>
      <c r="O7" s="2945"/>
      <c r="P7" s="3289" t="s">
        <v>2370</v>
      </c>
      <c r="Q7" s="3317"/>
      <c r="R7" s="708" t="s">
        <v>17</v>
      </c>
      <c r="S7" s="709">
        <f t="shared" ref="S7:S15" si="0">F7</f>
        <v>100</v>
      </c>
      <c r="T7" s="708" t="s">
        <v>17</v>
      </c>
      <c r="U7" s="709">
        <f t="shared" ref="U7:U15" si="1">H7</f>
        <v>100</v>
      </c>
      <c r="V7" s="708" t="s">
        <v>17</v>
      </c>
      <c r="W7" s="709">
        <f t="shared" ref="W7:W15" si="2">J7</f>
        <v>100</v>
      </c>
      <c r="X7" s="710"/>
      <c r="Y7" s="3289" t="s">
        <v>2370</v>
      </c>
      <c r="Z7" s="3290"/>
      <c r="AA7" s="711">
        <f>D7/F7</f>
        <v>1</v>
      </c>
      <c r="AB7" s="711">
        <f>D7/H7</f>
        <v>1</v>
      </c>
      <c r="AC7" s="711">
        <f>D7/J7</f>
        <v>1</v>
      </c>
    </row>
    <row r="8" spans="1:29" s="113" customFormat="1" ht="15.75" thickBot="1">
      <c r="A8" s="367" t="s">
        <v>2371</v>
      </c>
      <c r="B8" s="368"/>
      <c r="C8" s="373" t="s">
        <v>2473</v>
      </c>
      <c r="D8" s="370">
        <v>100</v>
      </c>
      <c r="E8" s="373" t="s">
        <v>3078</v>
      </c>
      <c r="F8" s="372">
        <f>SUMIF(61:61,E8,62:62)-SUMIF(61:61,C8,62:62)+100</f>
        <v>100</v>
      </c>
      <c r="G8" s="373" t="s">
        <v>3078</v>
      </c>
      <c r="H8" s="370">
        <f>SUMIF(61:61,G8,62:62)-SUMIF(61:61,C8,62:62)+100</f>
        <v>100</v>
      </c>
      <c r="I8" s="373" t="s">
        <v>3078</v>
      </c>
      <c r="J8" s="370">
        <f>SUMIF(61:61,I8,62:62)-SUMIF(61:61,C8,62:62)+100</f>
        <v>100</v>
      </c>
      <c r="K8" s="567"/>
      <c r="L8" s="2944"/>
      <c r="M8" s="2945"/>
      <c r="N8" s="2945"/>
      <c r="O8" s="2945"/>
      <c r="P8" s="3289" t="s">
        <v>2373</v>
      </c>
      <c r="Q8" s="3290"/>
      <c r="R8" s="708" t="s">
        <v>17</v>
      </c>
      <c r="S8" s="709">
        <f t="shared" si="0"/>
        <v>100</v>
      </c>
      <c r="T8" s="708" t="s">
        <v>17</v>
      </c>
      <c r="U8" s="709">
        <f t="shared" si="1"/>
        <v>100</v>
      </c>
      <c r="V8" s="708" t="s">
        <v>17</v>
      </c>
      <c r="W8" s="709">
        <f t="shared" si="2"/>
        <v>100</v>
      </c>
      <c r="X8" s="710"/>
      <c r="Y8" s="3289" t="s">
        <v>2373</v>
      </c>
      <c r="Z8" s="3290"/>
      <c r="AA8" s="711">
        <f t="shared" ref="AA8:AA46" si="3">D8/F8</f>
        <v>1</v>
      </c>
      <c r="AB8" s="711">
        <f t="shared" ref="AB8:AB46" si="4">D8/H8</f>
        <v>1</v>
      </c>
      <c r="AC8" s="711">
        <f t="shared" ref="AC8:AC46" si="5">D8/J8</f>
        <v>1</v>
      </c>
    </row>
    <row r="9" spans="1:29" s="113" customFormat="1">
      <c r="A9" s="374" t="s">
        <v>2374</v>
      </c>
      <c r="B9" s="67" t="s">
        <v>2375</v>
      </c>
      <c r="C9" s="3060" t="s">
        <v>3108</v>
      </c>
      <c r="D9" s="130">
        <v>100</v>
      </c>
      <c r="E9" s="376" t="s">
        <v>1343</v>
      </c>
      <c r="F9" s="377">
        <f>SUMIF(63:63,E9,64:64)-SUMIF(63:63,C9,64:64)+100</f>
        <v>100</v>
      </c>
      <c r="G9" s="376" t="s">
        <v>1343</v>
      </c>
      <c r="H9" s="130">
        <f>SUMIF(63:63,G9,64:64)-SUMIF(63:63,C9,64:64)+100</f>
        <v>100</v>
      </c>
      <c r="I9" s="376" t="s">
        <v>1343</v>
      </c>
      <c r="J9" s="130">
        <f>SUMIF(63:63,I9,64:64)-SUMIF(63:63,C9,64:64)+100</f>
        <v>100</v>
      </c>
      <c r="K9" s="567"/>
      <c r="L9" s="2944"/>
      <c r="M9" s="2945"/>
      <c r="N9" s="2945"/>
      <c r="O9" s="2945"/>
      <c r="P9" s="3303" t="s">
        <v>2376</v>
      </c>
      <c r="Q9" s="1525" t="str">
        <f t="shared" ref="Q9:Q15" si="6">B9</f>
        <v>用途</v>
      </c>
      <c r="R9" s="708" t="s">
        <v>17</v>
      </c>
      <c r="S9" s="709">
        <f t="shared" si="0"/>
        <v>100</v>
      </c>
      <c r="T9" s="708" t="s">
        <v>17</v>
      </c>
      <c r="U9" s="709">
        <f t="shared" si="1"/>
        <v>100</v>
      </c>
      <c r="V9" s="708" t="s">
        <v>17</v>
      </c>
      <c r="W9" s="709">
        <f t="shared" si="2"/>
        <v>100</v>
      </c>
      <c r="X9" s="710"/>
      <c r="Y9" s="3231" t="s">
        <v>2377</v>
      </c>
      <c r="Z9" s="55" t="str">
        <f t="shared" ref="Z9:Z15" si="7">Q9</f>
        <v>用途</v>
      </c>
      <c r="AA9" s="711">
        <f t="shared" si="3"/>
        <v>1</v>
      </c>
      <c r="AB9" s="711">
        <f t="shared" si="4"/>
        <v>1</v>
      </c>
      <c r="AC9" s="711">
        <f t="shared" si="5"/>
        <v>1</v>
      </c>
    </row>
    <row r="10" spans="1:29" s="385" customFormat="1" ht="27.75" thickBot="1">
      <c r="A10" s="379"/>
      <c r="B10" s="380" t="s">
        <v>2378</v>
      </c>
      <c r="C10" s="381" t="s">
        <v>3109</v>
      </c>
      <c r="D10" s="131">
        <v>100</v>
      </c>
      <c r="E10" s="382" t="s">
        <v>3109</v>
      </c>
      <c r="F10" s="383">
        <f>SUMIF(65:65,E10,66:66)-SUMIF(65:65,C10,66:66)+100</f>
        <v>100</v>
      </c>
      <c r="G10" s="381" t="s">
        <v>3109</v>
      </c>
      <c r="H10" s="131">
        <f>SUMIF(65:65,G10,66:66)-SUMIF(65:65,C10,66:66)+100</f>
        <v>100</v>
      </c>
      <c r="I10" s="381" t="s">
        <v>3109</v>
      </c>
      <c r="J10" s="131">
        <f>SUMIF(65:65,I10,66:66)-SUMIF(65:65,C10,66:66)+100</f>
        <v>100</v>
      </c>
      <c r="K10" s="568">
        <v>1</v>
      </c>
      <c r="L10" s="2946"/>
      <c r="M10" s="2947"/>
      <c r="N10" s="2947"/>
      <c r="O10" s="2947"/>
      <c r="P10" s="3303"/>
      <c r="Q10" s="1525" t="str">
        <f t="shared" si="6"/>
        <v>土地使用年限（年）</v>
      </c>
      <c r="R10" s="708" t="s">
        <v>17</v>
      </c>
      <c r="S10" s="709">
        <f t="shared" si="0"/>
        <v>100</v>
      </c>
      <c r="T10" s="708" t="s">
        <v>17</v>
      </c>
      <c r="U10" s="709">
        <f t="shared" si="1"/>
        <v>100</v>
      </c>
      <c r="V10" s="708" t="s">
        <v>17</v>
      </c>
      <c r="W10" s="709">
        <f t="shared" si="2"/>
        <v>100</v>
      </c>
      <c r="X10" s="710"/>
      <c r="Y10" s="3231"/>
      <c r="Z10" s="55" t="str">
        <f t="shared" si="7"/>
        <v>土地使用年限（年）</v>
      </c>
      <c r="AA10" s="711">
        <f t="shared" si="3"/>
        <v>1</v>
      </c>
      <c r="AB10" s="711">
        <f t="shared" si="4"/>
        <v>1</v>
      </c>
      <c r="AC10" s="711">
        <f t="shared" si="5"/>
        <v>1</v>
      </c>
    </row>
    <row r="11" spans="1:29" ht="15" hidden="1">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8"/>
      <c r="M11" s="2943"/>
      <c r="N11" s="2943"/>
      <c r="O11" s="2943"/>
      <c r="P11" s="3303"/>
      <c r="Q11" s="1525" t="str">
        <f t="shared" si="6"/>
        <v>容积率</v>
      </c>
      <c r="R11" s="708" t="s">
        <v>17</v>
      </c>
      <c r="S11" s="709">
        <f t="shared" si="0"/>
        <v>100</v>
      </c>
      <c r="T11" s="708" t="s">
        <v>17</v>
      </c>
      <c r="U11" s="709">
        <f t="shared" si="1"/>
        <v>100</v>
      </c>
      <c r="V11" s="708" t="s">
        <v>17</v>
      </c>
      <c r="W11" s="709">
        <f t="shared" si="2"/>
        <v>100</v>
      </c>
      <c r="X11" s="710"/>
      <c r="Y11" s="3231"/>
      <c r="Z11" s="55" t="str">
        <f t="shared" si="7"/>
        <v>容积率</v>
      </c>
      <c r="AA11" s="711">
        <f t="shared" si="3"/>
        <v>1</v>
      </c>
      <c r="AB11" s="711">
        <f t="shared" si="4"/>
        <v>1</v>
      </c>
      <c r="AC11" s="711">
        <f t="shared" si="5"/>
        <v>1</v>
      </c>
    </row>
    <row r="12" spans="1:29" s="113" customFormat="1" ht="15" hidden="1">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303"/>
      <c r="Q12" s="1525">
        <f t="shared" si="6"/>
        <v>111</v>
      </c>
      <c r="R12" s="708" t="s">
        <v>17</v>
      </c>
      <c r="S12" s="709">
        <f t="shared" si="0"/>
        <v>100</v>
      </c>
      <c r="T12" s="708" t="s">
        <v>17</v>
      </c>
      <c r="U12" s="709">
        <f t="shared" si="1"/>
        <v>100</v>
      </c>
      <c r="V12" s="708" t="s">
        <v>17</v>
      </c>
      <c r="W12" s="709">
        <f t="shared" si="2"/>
        <v>100</v>
      </c>
      <c r="X12" s="710"/>
      <c r="Y12" s="3231"/>
      <c r="Z12" s="55">
        <f t="shared" si="7"/>
        <v>111</v>
      </c>
      <c r="AA12" s="711">
        <f>D12/F12</f>
        <v>1</v>
      </c>
      <c r="AB12" s="711">
        <f>D12/H12</f>
        <v>1</v>
      </c>
      <c r="AC12" s="711">
        <f>D12/J12</f>
        <v>1</v>
      </c>
    </row>
    <row r="13" spans="1:29" ht="15" hidden="1">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303"/>
      <c r="Q13" s="1525">
        <f t="shared" si="6"/>
        <v>111</v>
      </c>
      <c r="R13" s="708" t="s">
        <v>17</v>
      </c>
      <c r="S13" s="709">
        <f t="shared" si="0"/>
        <v>100</v>
      </c>
      <c r="T13" s="708" t="s">
        <v>17</v>
      </c>
      <c r="U13" s="709">
        <f t="shared" si="1"/>
        <v>100</v>
      </c>
      <c r="V13" s="708" t="s">
        <v>17</v>
      </c>
      <c r="W13" s="709">
        <f t="shared" si="2"/>
        <v>100</v>
      </c>
      <c r="X13" s="710"/>
      <c r="Y13" s="3231"/>
      <c r="Z13" s="55">
        <f t="shared" si="7"/>
        <v>111</v>
      </c>
      <c r="AA13" s="711">
        <f t="shared" si="3"/>
        <v>1</v>
      </c>
      <c r="AB13" s="711">
        <f t="shared" si="4"/>
        <v>1</v>
      </c>
      <c r="AC13" s="711">
        <f t="shared" si="5"/>
        <v>1</v>
      </c>
    </row>
    <row r="14" spans="1:29" ht="15.75" hidden="1"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303"/>
      <c r="Q14" s="1525">
        <f t="shared" si="6"/>
        <v>111</v>
      </c>
      <c r="R14" s="708" t="s">
        <v>17</v>
      </c>
      <c r="S14" s="709">
        <f t="shared" si="0"/>
        <v>100</v>
      </c>
      <c r="T14" s="708" t="s">
        <v>17</v>
      </c>
      <c r="U14" s="709">
        <f t="shared" si="1"/>
        <v>100</v>
      </c>
      <c r="V14" s="708" t="s">
        <v>17</v>
      </c>
      <c r="W14" s="709">
        <f t="shared" si="2"/>
        <v>100</v>
      </c>
      <c r="X14" s="710"/>
      <c r="Y14" s="3231"/>
      <c r="Z14" s="55">
        <f t="shared" si="7"/>
        <v>111</v>
      </c>
      <c r="AA14" s="711">
        <f t="shared" si="3"/>
        <v>1</v>
      </c>
      <c r="AB14" s="711">
        <f t="shared" si="4"/>
        <v>1</v>
      </c>
      <c r="AC14" s="711">
        <f t="shared" si="5"/>
        <v>1</v>
      </c>
    </row>
    <row r="15" spans="1:29" ht="15">
      <c r="A15" s="398" t="s">
        <v>2380</v>
      </c>
      <c r="B15" s="65" t="s">
        <v>2474</v>
      </c>
      <c r="C15" s="2080">
        <f>估价对象房地状况!C4</f>
        <v>0</v>
      </c>
      <c r="D15" s="399">
        <v>100</v>
      </c>
      <c r="E15" s="400"/>
      <c r="F15" s="401">
        <f>SUMIF(76:76,E16,77:77)-SUMIF(76:76,C16,77:77)+100</f>
        <v>112</v>
      </c>
      <c r="G15" s="402"/>
      <c r="H15" s="399">
        <f>SUMIF(76:76,G16,77:77)-SUMIF(76:76,C16,77:77)+100</f>
        <v>112</v>
      </c>
      <c r="I15" s="400"/>
      <c r="J15" s="399">
        <f>SUMIF(76:76,I16,77:77)-SUMIF(76:76,C16,77:77)+100</f>
        <v>108</v>
      </c>
      <c r="K15" s="570">
        <v>4</v>
      </c>
      <c r="L15" s="2949"/>
      <c r="M15" s="2943"/>
      <c r="N15" s="2943"/>
      <c r="O15" s="2943"/>
      <c r="P15" s="3330" t="s">
        <v>2381</v>
      </c>
      <c r="Q15" s="1534" t="str">
        <f t="shared" si="6"/>
        <v>商业繁华度</v>
      </c>
      <c r="R15" s="712" t="s">
        <v>17</v>
      </c>
      <c r="S15" s="713">
        <f t="shared" si="0"/>
        <v>112</v>
      </c>
      <c r="T15" s="712" t="s">
        <v>17</v>
      </c>
      <c r="U15" s="713">
        <f t="shared" si="1"/>
        <v>112</v>
      </c>
      <c r="V15" s="712" t="s">
        <v>17</v>
      </c>
      <c r="W15" s="713">
        <f t="shared" si="2"/>
        <v>108</v>
      </c>
      <c r="X15" s="1537"/>
      <c r="Y15" s="3323" t="s">
        <v>2381</v>
      </c>
      <c r="Z15" s="1538" t="str">
        <f t="shared" si="7"/>
        <v>商业繁华度</v>
      </c>
      <c r="AA15" s="1535">
        <f t="shared" si="3"/>
        <v>0.8928571428571429</v>
      </c>
      <c r="AB15" s="1535">
        <f t="shared" si="4"/>
        <v>0.8928571428571429</v>
      </c>
      <c r="AC15" s="1535">
        <f t="shared" si="5"/>
        <v>0.92592592592592593</v>
      </c>
    </row>
    <row r="16" spans="1:29" ht="15">
      <c r="A16" s="386"/>
      <c r="B16" s="404"/>
      <c r="C16" s="405" t="s">
        <v>3083</v>
      </c>
      <c r="D16" s="406"/>
      <c r="E16" s="405" t="s">
        <v>3080</v>
      </c>
      <c r="F16" s="407"/>
      <c r="G16" s="405" t="s">
        <v>3080</v>
      </c>
      <c r="H16" s="408"/>
      <c r="I16" s="405" t="s">
        <v>3081</v>
      </c>
      <c r="J16" s="406"/>
      <c r="K16" s="571"/>
      <c r="L16" s="2949"/>
      <c r="M16" s="2943"/>
      <c r="N16" s="2943"/>
      <c r="O16" s="2943"/>
      <c r="P16" s="3331"/>
      <c r="Q16" s="1534"/>
      <c r="R16" s="712"/>
      <c r="S16" s="713"/>
      <c r="T16" s="712"/>
      <c r="U16" s="713"/>
      <c r="V16" s="712"/>
      <c r="W16" s="713"/>
      <c r="X16" s="1537"/>
      <c r="Y16" s="3324"/>
      <c r="Z16" s="1538"/>
      <c r="AA16" s="1535">
        <v>1</v>
      </c>
      <c r="AB16" s="1535">
        <v>1</v>
      </c>
      <c r="AC16" s="1535">
        <v>1</v>
      </c>
    </row>
    <row r="17" spans="1:29" ht="15">
      <c r="A17" s="386"/>
      <c r="B17" s="409" t="s">
        <v>1945</v>
      </c>
      <c r="C17" s="2084">
        <f>估价对象房地状况!C6</f>
        <v>0</v>
      </c>
      <c r="D17" s="408">
        <v>100</v>
      </c>
      <c r="E17" s="410"/>
      <c r="F17" s="411">
        <f>SUMIF(78:78,E18,79:79)-SUMIF(78:78,C18,79:79)+100</f>
        <v>108</v>
      </c>
      <c r="G17" s="412"/>
      <c r="H17" s="413">
        <f>SUMIF(78:78,G18,79:79)-SUMIF(78:78,C18,79:79)+100</f>
        <v>108</v>
      </c>
      <c r="I17" s="410"/>
      <c r="J17" s="413">
        <f>SUMIF(78:78,I18,79:79)-SUMIF(78:78,C18,79:79)+100</f>
        <v>108</v>
      </c>
      <c r="K17" s="570">
        <v>4</v>
      </c>
      <c r="L17" s="2949"/>
      <c r="M17" s="2943"/>
      <c r="N17" s="2943"/>
      <c r="O17" s="2943"/>
      <c r="P17" s="3331"/>
      <c r="Q17" s="1534" t="str">
        <f>B17</f>
        <v>交通便捷度</v>
      </c>
      <c r="R17" s="712" t="s">
        <v>17</v>
      </c>
      <c r="S17" s="713">
        <f>F17</f>
        <v>108</v>
      </c>
      <c r="T17" s="712" t="s">
        <v>17</v>
      </c>
      <c r="U17" s="713">
        <f>H17</f>
        <v>108</v>
      </c>
      <c r="V17" s="712" t="s">
        <v>17</v>
      </c>
      <c r="W17" s="713">
        <f>J17</f>
        <v>108</v>
      </c>
      <c r="X17" s="1537"/>
      <c r="Y17" s="3324"/>
      <c r="Z17" s="1538" t="str">
        <f>Q17</f>
        <v>交通便捷度</v>
      </c>
      <c r="AA17" s="1535">
        <f t="shared" si="3"/>
        <v>0.92592592592592593</v>
      </c>
      <c r="AB17" s="1535">
        <f t="shared" si="4"/>
        <v>0.92592592592592593</v>
      </c>
      <c r="AC17" s="1535">
        <f t="shared" si="5"/>
        <v>0.92592592592592593</v>
      </c>
    </row>
    <row r="18" spans="1:29" ht="15">
      <c r="A18" s="386"/>
      <c r="B18" s="414"/>
      <c r="C18" s="2085" t="s">
        <v>3082</v>
      </c>
      <c r="D18" s="408"/>
      <c r="E18" s="405" t="s">
        <v>3080</v>
      </c>
      <c r="F18" s="411"/>
      <c r="G18" s="405" t="s">
        <v>3080</v>
      </c>
      <c r="H18" s="406"/>
      <c r="I18" s="405" t="s">
        <v>3080</v>
      </c>
      <c r="J18" s="406"/>
      <c r="K18" s="571"/>
      <c r="L18" s="2949"/>
      <c r="M18" s="2943"/>
      <c r="N18" s="2943"/>
      <c r="O18" s="2943"/>
      <c r="P18" s="3331"/>
      <c r="Q18" s="1534"/>
      <c r="R18" s="712"/>
      <c r="S18" s="713"/>
      <c r="T18" s="712"/>
      <c r="U18" s="713"/>
      <c r="V18" s="712"/>
      <c r="W18" s="713"/>
      <c r="X18" s="1537"/>
      <c r="Y18" s="3324"/>
      <c r="Z18" s="1538"/>
      <c r="AA18" s="1535">
        <v>1</v>
      </c>
      <c r="AB18" s="1535">
        <v>1</v>
      </c>
      <c r="AC18" s="1535">
        <v>1</v>
      </c>
    </row>
    <row r="19" spans="1:29" ht="15">
      <c r="A19" s="386"/>
      <c r="B19" s="409" t="s">
        <v>2475</v>
      </c>
      <c r="C19" s="2084">
        <f>估价对象房地状况!C7</f>
        <v>0</v>
      </c>
      <c r="D19" s="413">
        <v>100</v>
      </c>
      <c r="E19" s="415"/>
      <c r="F19" s="416">
        <f>SUMIF(80:80,E20,81:81)-SUMIF(80:80,C20,81:81)+100</f>
        <v>108</v>
      </c>
      <c r="G19" s="417"/>
      <c r="H19" s="408">
        <f>SUMIF(80:80,G20,81:81)-SUMIF(80:80,C20,81:81)+100</f>
        <v>108</v>
      </c>
      <c r="I19" s="415"/>
      <c r="J19" s="408">
        <f>SUMIF(80:80,I20,81:81)-SUMIF(80:80,C20,81:81)+100</f>
        <v>108</v>
      </c>
      <c r="K19" s="570">
        <v>4</v>
      </c>
      <c r="L19" s="2949"/>
      <c r="M19" s="2943"/>
      <c r="N19" s="2943"/>
      <c r="O19" s="2943"/>
      <c r="P19" s="3331"/>
      <c r="Q19" s="1534" t="str">
        <f>B19</f>
        <v>公共配套设施</v>
      </c>
      <c r="R19" s="712" t="s">
        <v>17</v>
      </c>
      <c r="S19" s="713">
        <f>F19</f>
        <v>108</v>
      </c>
      <c r="T19" s="712" t="s">
        <v>17</v>
      </c>
      <c r="U19" s="713">
        <f>H19</f>
        <v>108</v>
      </c>
      <c r="V19" s="712" t="s">
        <v>17</v>
      </c>
      <c r="W19" s="713">
        <f>J19</f>
        <v>108</v>
      </c>
      <c r="X19" s="1537"/>
      <c r="Y19" s="3324"/>
      <c r="Z19" s="1538" t="str">
        <f>Q19</f>
        <v>公共配套设施</v>
      </c>
      <c r="AA19" s="1535">
        <f t="shared" si="3"/>
        <v>0.92592592592592593</v>
      </c>
      <c r="AB19" s="1535">
        <f t="shared" si="4"/>
        <v>0.92592592592592593</v>
      </c>
      <c r="AC19" s="1535">
        <f t="shared" si="5"/>
        <v>0.92592592592592593</v>
      </c>
    </row>
    <row r="20" spans="1:29" ht="15">
      <c r="A20" s="386"/>
      <c r="B20" s="414"/>
      <c r="C20" s="405" t="s">
        <v>3082</v>
      </c>
      <c r="D20" s="406"/>
      <c r="E20" s="405" t="s">
        <v>3080</v>
      </c>
      <c r="F20" s="407"/>
      <c r="G20" s="405" t="s">
        <v>3080</v>
      </c>
      <c r="H20" s="406"/>
      <c r="I20" s="405" t="s">
        <v>3080</v>
      </c>
      <c r="J20" s="406"/>
      <c r="K20" s="571"/>
      <c r="L20" s="2949"/>
      <c r="M20" s="2943"/>
      <c r="N20" s="2943"/>
      <c r="O20" s="2943"/>
      <c r="P20" s="3331"/>
      <c r="Q20" s="1534"/>
      <c r="R20" s="712"/>
      <c r="S20" s="713"/>
      <c r="T20" s="712"/>
      <c r="U20" s="713"/>
      <c r="V20" s="712"/>
      <c r="W20" s="713"/>
      <c r="X20" s="1537"/>
      <c r="Y20" s="3324"/>
      <c r="Z20" s="1538"/>
      <c r="AA20" s="1535">
        <v>1</v>
      </c>
      <c r="AB20" s="1535">
        <v>1</v>
      </c>
      <c r="AC20" s="1535">
        <v>1</v>
      </c>
    </row>
    <row r="21" spans="1:29" ht="15">
      <c r="A21" s="386"/>
      <c r="B21" s="1291" t="s">
        <v>2476</v>
      </c>
      <c r="C21" s="2084">
        <f>估价对象房地状况!C8</f>
        <v>0</v>
      </c>
      <c r="D21" s="413">
        <v>100</v>
      </c>
      <c r="E21" s="415"/>
      <c r="F21" s="416">
        <f>SUMIF(82:82,E22,83:83)-SUMIF(82:82,C22,83:83)+100</f>
        <v>100</v>
      </c>
      <c r="G21" s="417"/>
      <c r="H21" s="408">
        <f>SUMIF(82:82,G22,83:83)-SUMIF(82:82,C22,83:83)+100</f>
        <v>100</v>
      </c>
      <c r="I21" s="415"/>
      <c r="J21" s="408">
        <f>SUMIF(82:82,I22,83:83)-SUMIF(82:82,C22,83:83)+100</f>
        <v>100</v>
      </c>
      <c r="K21" s="570">
        <v>3</v>
      </c>
      <c r="L21" s="2949"/>
      <c r="M21" s="2943"/>
      <c r="N21" s="2943"/>
      <c r="O21" s="2943"/>
      <c r="P21" s="3331"/>
      <c r="Q21" s="1534" t="str">
        <f>B21</f>
        <v>基础设施水平</v>
      </c>
      <c r="R21" s="712" t="s">
        <v>17</v>
      </c>
      <c r="S21" s="713">
        <f>F21</f>
        <v>100</v>
      </c>
      <c r="T21" s="712" t="s">
        <v>17</v>
      </c>
      <c r="U21" s="713">
        <f>H21</f>
        <v>100</v>
      </c>
      <c r="V21" s="712" t="s">
        <v>17</v>
      </c>
      <c r="W21" s="713">
        <f>J21</f>
        <v>100</v>
      </c>
      <c r="X21" s="1537"/>
      <c r="Y21" s="3324"/>
      <c r="Z21" s="1538" t="str">
        <f>Q21</f>
        <v>基础设施水平</v>
      </c>
      <c r="AA21" s="1535">
        <f t="shared" ref="AA21" si="8">D21/F21</f>
        <v>1</v>
      </c>
      <c r="AB21" s="1535">
        <f t="shared" ref="AB21" si="9">D21/H21</f>
        <v>1</v>
      </c>
      <c r="AC21" s="1535">
        <f t="shared" ref="AC21" si="10">D21/J21</f>
        <v>1</v>
      </c>
    </row>
    <row r="22" spans="1:29" ht="15">
      <c r="A22" s="386"/>
      <c r="B22" s="1291"/>
      <c r="C22" s="2085" t="s">
        <v>3098</v>
      </c>
      <c r="D22" s="406"/>
      <c r="E22" s="405" t="s">
        <v>3098</v>
      </c>
      <c r="F22" s="407"/>
      <c r="G22" s="405" t="s">
        <v>3098</v>
      </c>
      <c r="H22" s="406"/>
      <c r="I22" s="405" t="s">
        <v>3098</v>
      </c>
      <c r="J22" s="406"/>
      <c r="K22" s="1290"/>
      <c r="L22" s="2949"/>
      <c r="M22" s="2943"/>
      <c r="N22" s="2943"/>
      <c r="O22" s="2943"/>
      <c r="P22" s="3331"/>
      <c r="Q22" s="1534"/>
      <c r="R22" s="712"/>
      <c r="S22" s="713"/>
      <c r="T22" s="712"/>
      <c r="U22" s="713"/>
      <c r="V22" s="712"/>
      <c r="W22" s="713"/>
      <c r="X22" s="1537"/>
      <c r="Y22" s="3324"/>
      <c r="Z22" s="1538"/>
      <c r="AA22" s="1535">
        <v>1</v>
      </c>
      <c r="AB22" s="1535">
        <v>1</v>
      </c>
      <c r="AC22" s="1535">
        <v>1</v>
      </c>
    </row>
    <row r="23" spans="1:29" ht="15">
      <c r="A23" s="386"/>
      <c r="B23" s="409" t="s">
        <v>1947</v>
      </c>
      <c r="C23" s="2139">
        <f>估价对象房地状况!C9</f>
        <v>0</v>
      </c>
      <c r="D23" s="408">
        <v>100</v>
      </c>
      <c r="E23" s="410"/>
      <c r="F23" s="411">
        <f>SUMIF(84:84,E24,85:85)-SUMIF(84:84,C24,85:85)+100</f>
        <v>100</v>
      </c>
      <c r="G23" s="412"/>
      <c r="H23" s="408">
        <f>SUMIF(84:84,G24,85:85)-SUMIF(84:84,C24,85:85)+100</f>
        <v>100</v>
      </c>
      <c r="I23" s="410"/>
      <c r="J23" s="408">
        <f>SUMIF(84:84,I24,85:85)-SUMIF(84:84,C24,85:85)+100</f>
        <v>100</v>
      </c>
      <c r="K23" s="570">
        <v>3</v>
      </c>
      <c r="L23" s="2949"/>
      <c r="M23" s="2943"/>
      <c r="N23" s="2943"/>
      <c r="O23" s="2943"/>
      <c r="P23" s="3331"/>
      <c r="Q23" s="1534" t="str">
        <f>B23</f>
        <v>自然及人文环境</v>
      </c>
      <c r="R23" s="712" t="s">
        <v>17</v>
      </c>
      <c r="S23" s="713">
        <f>F23</f>
        <v>100</v>
      </c>
      <c r="T23" s="712" t="s">
        <v>17</v>
      </c>
      <c r="U23" s="713">
        <f>H23</f>
        <v>100</v>
      </c>
      <c r="V23" s="712" t="s">
        <v>17</v>
      </c>
      <c r="W23" s="713">
        <f>J23</f>
        <v>100</v>
      </c>
      <c r="X23" s="1537"/>
      <c r="Y23" s="3324"/>
      <c r="Z23" s="1538" t="str">
        <f>Q23</f>
        <v>自然及人文环境</v>
      </c>
      <c r="AA23" s="1535">
        <f t="shared" si="3"/>
        <v>1</v>
      </c>
      <c r="AB23" s="1535">
        <f t="shared" si="4"/>
        <v>1</v>
      </c>
      <c r="AC23" s="1535">
        <f t="shared" si="5"/>
        <v>1</v>
      </c>
    </row>
    <row r="24" spans="1:29" ht="15">
      <c r="A24" s="386"/>
      <c r="B24" s="414"/>
      <c r="C24" s="405" t="s">
        <v>3081</v>
      </c>
      <c r="D24" s="406"/>
      <c r="E24" s="2082" t="s">
        <v>3081</v>
      </c>
      <c r="F24" s="407"/>
      <c r="G24" s="2081" t="s">
        <v>3081</v>
      </c>
      <c r="H24" s="406"/>
      <c r="I24" s="2082" t="s">
        <v>3081</v>
      </c>
      <c r="J24" s="406"/>
      <c r="K24" s="571"/>
      <c r="L24" s="2949"/>
      <c r="M24" s="2943"/>
      <c r="N24" s="2943"/>
      <c r="O24" s="2943"/>
      <c r="P24" s="3331"/>
      <c r="Q24" s="1534"/>
      <c r="R24" s="712"/>
      <c r="S24" s="713"/>
      <c r="T24" s="712"/>
      <c r="U24" s="713"/>
      <c r="V24" s="712"/>
      <c r="W24" s="713"/>
      <c r="X24" s="1537"/>
      <c r="Y24" s="3324"/>
      <c r="Z24" s="1538"/>
      <c r="AA24" s="1535">
        <v>1</v>
      </c>
      <c r="AB24" s="1535">
        <v>1</v>
      </c>
      <c r="AC24" s="1535">
        <v>1</v>
      </c>
    </row>
    <row r="25" spans="1:29" ht="15" hidden="1">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31"/>
      <c r="Q25" s="1534" t="str">
        <f t="shared" ref="Q25:Q46" si="11">B25</f>
        <v>临街状况</v>
      </c>
      <c r="R25" s="712" t="s">
        <v>17</v>
      </c>
      <c r="S25" s="713">
        <f>F25</f>
        <v>100</v>
      </c>
      <c r="T25" s="712" t="s">
        <v>17</v>
      </c>
      <c r="U25" s="713">
        <f>H25</f>
        <v>100</v>
      </c>
      <c r="V25" s="712" t="s">
        <v>17</v>
      </c>
      <c r="W25" s="713">
        <f>J25</f>
        <v>100</v>
      </c>
      <c r="X25" s="1537"/>
      <c r="Y25" s="3324"/>
      <c r="Z25" s="1538" t="str">
        <f>Q25</f>
        <v>临街状况</v>
      </c>
      <c r="AA25" s="1535">
        <f t="shared" si="3"/>
        <v>1</v>
      </c>
      <c r="AB25" s="1535">
        <f t="shared" si="4"/>
        <v>1</v>
      </c>
      <c r="AC25" s="1535">
        <f t="shared" si="5"/>
        <v>1</v>
      </c>
    </row>
    <row r="26" spans="1:29" ht="15">
      <c r="A26" s="386"/>
      <c r="B26" s="1293" t="s">
        <v>2478</v>
      </c>
      <c r="C26" s="3061" t="s">
        <v>3110</v>
      </c>
      <c r="D26" s="393">
        <v>100</v>
      </c>
      <c r="E26" s="3061" t="s">
        <v>3111</v>
      </c>
      <c r="F26" s="419">
        <f>SUMIF(88:88,E26,89:89)-SUMIF(88:88,C26,89:89)+100</f>
        <v>100</v>
      </c>
      <c r="G26" s="3061" t="s">
        <v>3111</v>
      </c>
      <c r="H26" s="393">
        <f>SUMIF(88:88,G26,89:89)-SUMIF(88:88,C26,89:89)+100</f>
        <v>100</v>
      </c>
      <c r="I26" s="3061" t="s">
        <v>3111</v>
      </c>
      <c r="J26" s="393">
        <f>SUMIF(88:88,I26,89:89)-SUMIF(88:88,C26,89:89)+100</f>
        <v>100</v>
      </c>
      <c r="K26" s="569"/>
      <c r="L26" s="2949"/>
      <c r="M26" s="2943"/>
      <c r="N26" s="2943"/>
      <c r="O26" s="2943"/>
      <c r="P26" s="3331"/>
      <c r="Q26" s="1534" t="str">
        <f t="shared" si="11"/>
        <v>平面位置/可视性</v>
      </c>
      <c r="R26" s="712" t="s">
        <v>17</v>
      </c>
      <c r="S26" s="713">
        <f>F26</f>
        <v>100</v>
      </c>
      <c r="T26" s="712" t="s">
        <v>17</v>
      </c>
      <c r="U26" s="713">
        <f>H26</f>
        <v>100</v>
      </c>
      <c r="V26" s="712" t="s">
        <v>17</v>
      </c>
      <c r="W26" s="713">
        <f>J26</f>
        <v>100</v>
      </c>
      <c r="X26" s="1537"/>
      <c r="Y26" s="3324"/>
      <c r="Z26" s="1538" t="str">
        <f>Q26</f>
        <v>平面位置/可视性</v>
      </c>
      <c r="AA26" s="1535">
        <f t="shared" si="3"/>
        <v>1</v>
      </c>
      <c r="AB26" s="1535">
        <f t="shared" si="4"/>
        <v>1</v>
      </c>
      <c r="AC26" s="1535">
        <f t="shared" si="5"/>
        <v>1</v>
      </c>
    </row>
    <row r="27" spans="1:29" s="113" customFormat="1" ht="15">
      <c r="A27" s="389"/>
      <c r="B27" s="409" t="s">
        <v>2479</v>
      </c>
      <c r="C27" s="2140" t="s">
        <v>3086</v>
      </c>
      <c r="D27" s="420">
        <v>100</v>
      </c>
      <c r="E27" s="2140" t="s">
        <v>3085</v>
      </c>
      <c r="F27" s="422">
        <f>SUMIF(90:90,E27,91:91)-SUMIF(90:90,C27,91:91)+100</f>
        <v>104</v>
      </c>
      <c r="G27" s="2140" t="s">
        <v>3085</v>
      </c>
      <c r="H27" s="420">
        <f>SUMIF(90:90,G27,91:91)-SUMIF(90:90,C27,91:91)+100</f>
        <v>104</v>
      </c>
      <c r="I27" s="2140" t="s">
        <v>3081</v>
      </c>
      <c r="J27" s="420">
        <f>SUMIF(90:90,I27,91:91)-SUMIF(90:90,C27,91:91)+100</f>
        <v>102</v>
      </c>
      <c r="K27" s="568">
        <v>2</v>
      </c>
      <c r="L27" s="2944"/>
      <c r="M27" s="2945"/>
      <c r="N27" s="2945"/>
      <c r="O27" s="2945"/>
      <c r="P27" s="3331"/>
      <c r="Q27" s="1525" t="str">
        <f t="shared" si="11"/>
        <v>人流量</v>
      </c>
      <c r="R27" s="708" t="s">
        <v>17</v>
      </c>
      <c r="S27" s="709">
        <f>F27</f>
        <v>104</v>
      </c>
      <c r="T27" s="708" t="s">
        <v>17</v>
      </c>
      <c r="U27" s="709">
        <f>H27</f>
        <v>104</v>
      </c>
      <c r="V27" s="708" t="s">
        <v>17</v>
      </c>
      <c r="W27" s="709">
        <f>J27</f>
        <v>102</v>
      </c>
      <c r="X27" s="710"/>
      <c r="Y27" s="3324"/>
      <c r="Z27" s="55" t="str">
        <f>Q27</f>
        <v>人流量</v>
      </c>
      <c r="AA27" s="1535">
        <f>D27/F27</f>
        <v>0.96153846153846156</v>
      </c>
      <c r="AB27" s="1535">
        <f>D27/H27</f>
        <v>0.96153846153846156</v>
      </c>
      <c r="AC27" s="1535">
        <f>D27/J27</f>
        <v>0.98039215686274506</v>
      </c>
    </row>
    <row r="28" spans="1:29" ht="15.75" thickBot="1">
      <c r="A28" s="386"/>
      <c r="B28" s="380" t="s">
        <v>2480</v>
      </c>
      <c r="C28" s="572" t="s">
        <v>3088</v>
      </c>
      <c r="D28" s="393">
        <v>100</v>
      </c>
      <c r="E28" s="572" t="s">
        <v>3092</v>
      </c>
      <c r="F28" s="419">
        <f>SUMIF(92:92,E28,93:93)-SUMIF(92:92,C28,93:93)+100</f>
        <v>85</v>
      </c>
      <c r="G28" s="572" t="s">
        <v>3088</v>
      </c>
      <c r="H28" s="393">
        <f>SUMIF(92:92,G28,93:93)-SUMIF(92:92,C28,93:93)+100</f>
        <v>100</v>
      </c>
      <c r="I28" s="572" t="s">
        <v>3088</v>
      </c>
      <c r="J28" s="393">
        <f>SUMIF(92:92,I28,93:93)-SUMIF(92:92,C28,93:93)+100</f>
        <v>100</v>
      </c>
      <c r="K28" s="569"/>
      <c r="L28" s="2949"/>
      <c r="M28" s="2943"/>
      <c r="N28" s="2943"/>
      <c r="O28" s="2943"/>
      <c r="P28" s="3331"/>
      <c r="Q28" s="1534" t="str">
        <f t="shared" si="11"/>
        <v>楼层</v>
      </c>
      <c r="R28" s="712" t="s">
        <v>17</v>
      </c>
      <c r="S28" s="713">
        <f t="shared" ref="S28:S46" si="12">F28</f>
        <v>85</v>
      </c>
      <c r="T28" s="712" t="s">
        <v>17</v>
      </c>
      <c r="U28" s="713">
        <f t="shared" ref="U28:U46" si="13">H28</f>
        <v>100</v>
      </c>
      <c r="V28" s="712" t="s">
        <v>17</v>
      </c>
      <c r="W28" s="713">
        <f t="shared" ref="W28:W46" si="14">J28</f>
        <v>100</v>
      </c>
      <c r="X28" s="1537"/>
      <c r="Y28" s="3324"/>
      <c r="Z28" s="1538" t="str">
        <f t="shared" ref="Z28:Z46" si="15">Q28</f>
        <v>楼层</v>
      </c>
      <c r="AA28" s="1535">
        <f t="shared" si="3"/>
        <v>1.1764705882352942</v>
      </c>
      <c r="AB28" s="1535">
        <f t="shared" si="4"/>
        <v>1</v>
      </c>
      <c r="AC28" s="1535">
        <f t="shared" si="5"/>
        <v>1</v>
      </c>
    </row>
    <row r="29" spans="1:29" ht="15" hidden="1">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31"/>
      <c r="Q29" s="1534">
        <f t="shared" si="11"/>
        <v>111</v>
      </c>
      <c r="R29" s="712" t="s">
        <v>17</v>
      </c>
      <c r="S29" s="713">
        <f t="shared" si="12"/>
        <v>100</v>
      </c>
      <c r="T29" s="712" t="s">
        <v>17</v>
      </c>
      <c r="U29" s="713">
        <f t="shared" si="13"/>
        <v>100</v>
      </c>
      <c r="V29" s="712" t="s">
        <v>17</v>
      </c>
      <c r="W29" s="713">
        <f t="shared" si="14"/>
        <v>100</v>
      </c>
      <c r="X29" s="1537"/>
      <c r="Y29" s="3324"/>
      <c r="Z29" s="1538">
        <f t="shared" si="15"/>
        <v>111</v>
      </c>
      <c r="AA29" s="1535">
        <f t="shared" si="3"/>
        <v>1</v>
      </c>
      <c r="AB29" s="1535">
        <f t="shared" si="4"/>
        <v>1</v>
      </c>
      <c r="AC29" s="1535">
        <f t="shared" si="5"/>
        <v>1</v>
      </c>
    </row>
    <row r="30" spans="1:29" ht="15" hidden="1">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31"/>
      <c r="Q30" s="1534">
        <f t="shared" si="11"/>
        <v>111</v>
      </c>
      <c r="R30" s="712" t="s">
        <v>17</v>
      </c>
      <c r="S30" s="713">
        <f t="shared" si="12"/>
        <v>100</v>
      </c>
      <c r="T30" s="712" t="s">
        <v>17</v>
      </c>
      <c r="U30" s="713">
        <f t="shared" si="13"/>
        <v>100</v>
      </c>
      <c r="V30" s="712" t="s">
        <v>17</v>
      </c>
      <c r="W30" s="713">
        <f t="shared" si="14"/>
        <v>100</v>
      </c>
      <c r="X30" s="1537"/>
      <c r="Y30" s="3324"/>
      <c r="Z30" s="1538">
        <f t="shared" si="15"/>
        <v>111</v>
      </c>
      <c r="AA30" s="1535">
        <f t="shared" si="3"/>
        <v>1</v>
      </c>
      <c r="AB30" s="1535">
        <f t="shared" si="4"/>
        <v>1</v>
      </c>
      <c r="AC30" s="1535">
        <f t="shared" si="5"/>
        <v>1</v>
      </c>
    </row>
    <row r="31" spans="1:29" ht="15.75" hidden="1"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31"/>
      <c r="Q31" s="1534">
        <f t="shared" si="11"/>
        <v>111</v>
      </c>
      <c r="R31" s="712" t="s">
        <v>17</v>
      </c>
      <c r="S31" s="713">
        <f t="shared" si="12"/>
        <v>100</v>
      </c>
      <c r="T31" s="712" t="s">
        <v>17</v>
      </c>
      <c r="U31" s="713">
        <f t="shared" si="13"/>
        <v>100</v>
      </c>
      <c r="V31" s="712" t="s">
        <v>17</v>
      </c>
      <c r="W31" s="713">
        <f t="shared" si="14"/>
        <v>100</v>
      </c>
      <c r="X31" s="1537"/>
      <c r="Y31" s="3324"/>
      <c r="Z31" s="1538">
        <f t="shared" si="15"/>
        <v>111</v>
      </c>
      <c r="AA31" s="1535">
        <f t="shared" si="3"/>
        <v>1</v>
      </c>
      <c r="AB31" s="1535">
        <f t="shared" si="4"/>
        <v>1</v>
      </c>
      <c r="AC31" s="1535">
        <f t="shared" si="5"/>
        <v>1</v>
      </c>
    </row>
    <row r="32" spans="1:29" ht="15">
      <c r="A32" s="398" t="s">
        <v>2384</v>
      </c>
      <c r="B32" s="67" t="s">
        <v>2481</v>
      </c>
      <c r="C32" s="2094" t="s">
        <v>3066</v>
      </c>
      <c r="D32" s="425">
        <v>100</v>
      </c>
      <c r="E32" s="2094" t="s">
        <v>3096</v>
      </c>
      <c r="F32" s="419">
        <f>SUMIF(100:100,E32,101:101)-SUMIF(100:100,C32,101:101)+100</f>
        <v>98</v>
      </c>
      <c r="G32" s="2094" t="s">
        <v>3096</v>
      </c>
      <c r="H32" s="393">
        <f>SUMIF(100:100,G32,101:101)-SUMIF(100:100,C32,101:101)+100</f>
        <v>98</v>
      </c>
      <c r="I32" s="2094" t="s">
        <v>3096</v>
      </c>
      <c r="J32" s="425">
        <f>SUMIF(100:100,I32,101:101)-SUMIF(100:100,C32,101:101)+100</f>
        <v>98</v>
      </c>
      <c r="K32" s="568">
        <v>1</v>
      </c>
      <c r="L32" s="2949"/>
      <c r="M32" s="2943"/>
      <c r="N32" s="2943"/>
      <c r="O32" s="2943"/>
      <c r="P32" s="3325" t="s">
        <v>2386</v>
      </c>
      <c r="Q32" s="1534" t="str">
        <f t="shared" si="11"/>
        <v>商业类型</v>
      </c>
      <c r="R32" s="712" t="s">
        <v>17</v>
      </c>
      <c r="S32" s="713">
        <f t="shared" si="12"/>
        <v>98</v>
      </c>
      <c r="T32" s="712" t="s">
        <v>17</v>
      </c>
      <c r="U32" s="713">
        <f t="shared" si="13"/>
        <v>98</v>
      </c>
      <c r="V32" s="712" t="s">
        <v>17</v>
      </c>
      <c r="W32" s="713">
        <f t="shared" si="14"/>
        <v>98</v>
      </c>
      <c r="X32" s="1537"/>
      <c r="Y32" s="3328" t="s">
        <v>2386</v>
      </c>
      <c r="Z32" s="1538" t="str">
        <f t="shared" si="15"/>
        <v>商业类型</v>
      </c>
      <c r="AA32" s="1535">
        <f t="shared" si="3"/>
        <v>1.0204081632653061</v>
      </c>
      <c r="AB32" s="1535">
        <f t="shared" si="4"/>
        <v>1.0204081632653061</v>
      </c>
      <c r="AC32" s="1535">
        <f t="shared" si="5"/>
        <v>1.0204081632653061</v>
      </c>
    </row>
    <row r="33" spans="1:29" s="429" customFormat="1" ht="15">
      <c r="A33" s="426"/>
      <c r="B33" s="380" t="s">
        <v>2387</v>
      </c>
      <c r="C33" s="427">
        <f>'数据-基础表'!I13</f>
        <v>456.22</v>
      </c>
      <c r="D33" s="131">
        <v>100</v>
      </c>
      <c r="E33" s="388">
        <v>204</v>
      </c>
      <c r="F33" s="383">
        <f>LOOKUP(E33,103:103,104:104)-LOOKUP(C33,103:103,104:104)+100</f>
        <v>100</v>
      </c>
      <c r="G33" s="387">
        <v>70</v>
      </c>
      <c r="H33" s="131">
        <f>LOOKUP(G33,103:103,104:104)-LOOKUP(C33,103:103,104:104)+100</f>
        <v>104</v>
      </c>
      <c r="I33" s="387">
        <v>700</v>
      </c>
      <c r="J33" s="131">
        <f>LOOKUP(I33,103:103,104:104)-LOOKUP(C33,103:103,104:104)+100</f>
        <v>98</v>
      </c>
      <c r="K33" s="569"/>
      <c r="L33" s="2948"/>
      <c r="M33" s="2950"/>
      <c r="N33" s="2950"/>
      <c r="O33" s="2950"/>
      <c r="P33" s="3326"/>
      <c r="Q33" s="714" t="str">
        <f t="shared" si="11"/>
        <v>项目建筑规模</v>
      </c>
      <c r="R33" s="715" t="s">
        <v>17</v>
      </c>
      <c r="S33" s="716">
        <f t="shared" si="12"/>
        <v>100</v>
      </c>
      <c r="T33" s="715" t="s">
        <v>17</v>
      </c>
      <c r="U33" s="716">
        <f t="shared" si="13"/>
        <v>104</v>
      </c>
      <c r="V33" s="715" t="s">
        <v>17</v>
      </c>
      <c r="W33" s="716">
        <f t="shared" si="14"/>
        <v>98</v>
      </c>
      <c r="X33" s="717"/>
      <c r="Y33" s="3328"/>
      <c r="Z33" s="718" t="str">
        <f t="shared" si="15"/>
        <v>项目建筑规模</v>
      </c>
      <c r="AA33" s="1535">
        <f t="shared" si="3"/>
        <v>1</v>
      </c>
      <c r="AB33" s="1535">
        <f t="shared" si="4"/>
        <v>0.96153846153846156</v>
      </c>
      <c r="AC33" s="1535">
        <f t="shared" si="5"/>
        <v>1.0204081632653061</v>
      </c>
    </row>
    <row r="34" spans="1:29" ht="15">
      <c r="A34" s="430"/>
      <c r="B34" s="380" t="s">
        <v>2388</v>
      </c>
      <c r="C34" s="2096" t="s">
        <v>3075</v>
      </c>
      <c r="D34" s="393">
        <v>100</v>
      </c>
      <c r="E34" s="2096" t="s">
        <v>3075</v>
      </c>
      <c r="F34" s="419">
        <f>SUMIF(105:105,E34,106:106)-SUMIF(105:105,C34,106:106)+100</f>
        <v>100</v>
      </c>
      <c r="G34" s="2096" t="s">
        <v>3075</v>
      </c>
      <c r="H34" s="393">
        <f>SUMIF(105:105,G34,106:106)-SUMIF(105:105,C34,106:106)+100</f>
        <v>100</v>
      </c>
      <c r="I34" s="2096" t="s">
        <v>3075</v>
      </c>
      <c r="J34" s="393">
        <f>SUMIF(105:105,I34,106:106)-SUMIF(105:105,C34,106:106)+100</f>
        <v>100</v>
      </c>
      <c r="K34" s="568">
        <v>2</v>
      </c>
      <c r="L34" s="2949"/>
      <c r="M34" s="2943"/>
      <c r="N34" s="2943"/>
      <c r="O34" s="2943"/>
      <c r="P34" s="3326"/>
      <c r="Q34" s="1534" t="str">
        <f t="shared" si="11"/>
        <v>建筑结构</v>
      </c>
      <c r="R34" s="712" t="s">
        <v>17</v>
      </c>
      <c r="S34" s="713">
        <f t="shared" si="12"/>
        <v>100</v>
      </c>
      <c r="T34" s="712" t="s">
        <v>17</v>
      </c>
      <c r="U34" s="713">
        <f t="shared" si="13"/>
        <v>100</v>
      </c>
      <c r="V34" s="712" t="s">
        <v>17</v>
      </c>
      <c r="W34" s="713">
        <f t="shared" si="14"/>
        <v>100</v>
      </c>
      <c r="X34" s="1537"/>
      <c r="Y34" s="3328"/>
      <c r="Z34" s="1538" t="str">
        <f t="shared" si="15"/>
        <v>建筑结构</v>
      </c>
      <c r="AA34" s="1535">
        <f t="shared" si="3"/>
        <v>1</v>
      </c>
      <c r="AB34" s="1535">
        <f t="shared" si="4"/>
        <v>1</v>
      </c>
      <c r="AC34" s="1535">
        <f t="shared" si="5"/>
        <v>1</v>
      </c>
    </row>
    <row r="35" spans="1:29" ht="15">
      <c r="A35" s="430"/>
      <c r="B35" s="380" t="s">
        <v>2482</v>
      </c>
      <c r="C35" s="2090" t="s">
        <v>3097</v>
      </c>
      <c r="D35" s="393">
        <v>100</v>
      </c>
      <c r="E35" s="2090" t="s">
        <v>3097</v>
      </c>
      <c r="F35" s="419">
        <f>SUMIF(107:107,E35,108:108)-SUMIF(107:107,C35,108:108)+100</f>
        <v>100</v>
      </c>
      <c r="G35" s="2090" t="s">
        <v>3097</v>
      </c>
      <c r="H35" s="393">
        <f>SUMIF(107:107,G35,108:108)-SUMIF(107:107,C35,108:108)+100</f>
        <v>100</v>
      </c>
      <c r="I35" s="2090" t="s">
        <v>3097</v>
      </c>
      <c r="J35" s="393">
        <f>SUMIF(107:107,I35,108:108)-SUMIF(107:107,C35,108:108)+100</f>
        <v>100</v>
      </c>
      <c r="K35" s="568">
        <v>2</v>
      </c>
      <c r="L35" s="2949"/>
      <c r="M35" s="2943"/>
      <c r="N35" s="2943"/>
      <c r="O35" s="2943"/>
      <c r="P35" s="3326"/>
      <c r="Q35" s="1534" t="str">
        <f t="shared" si="11"/>
        <v>公共部分装修</v>
      </c>
      <c r="R35" s="712" t="s">
        <v>17</v>
      </c>
      <c r="S35" s="713">
        <f t="shared" si="12"/>
        <v>100</v>
      </c>
      <c r="T35" s="712" t="s">
        <v>17</v>
      </c>
      <c r="U35" s="713">
        <f t="shared" si="13"/>
        <v>100</v>
      </c>
      <c r="V35" s="712" t="s">
        <v>17</v>
      </c>
      <c r="W35" s="713">
        <f t="shared" si="14"/>
        <v>100</v>
      </c>
      <c r="X35" s="1537"/>
      <c r="Y35" s="3328"/>
      <c r="Z35" s="1538" t="str">
        <f t="shared" si="15"/>
        <v>公共部分装修</v>
      </c>
      <c r="AA35" s="1535">
        <f t="shared" si="3"/>
        <v>1</v>
      </c>
      <c r="AB35" s="1535">
        <f t="shared" si="4"/>
        <v>1</v>
      </c>
      <c r="AC35" s="1535">
        <f t="shared" si="5"/>
        <v>1</v>
      </c>
    </row>
    <row r="36" spans="1:29" ht="15">
      <c r="A36" s="430"/>
      <c r="B36" s="380" t="s">
        <v>2483</v>
      </c>
      <c r="C36" s="432">
        <f>'数据-取费表'!N6</f>
        <v>0.85</v>
      </c>
      <c r="D36" s="393">
        <v>100</v>
      </c>
      <c r="E36" s="432">
        <v>0.9</v>
      </c>
      <c r="F36" s="419">
        <f>LOOKUP(E36,110:110,111:111)-LOOKUP(C36,110:110,111:111)+100</f>
        <v>102</v>
      </c>
      <c r="G36" s="432">
        <v>0.9</v>
      </c>
      <c r="H36" s="419">
        <f>LOOKUP(G36,110:110,111:111)-LOOKUP(C36,110:110,111:111)+100</f>
        <v>102</v>
      </c>
      <c r="I36" s="432">
        <v>0.9</v>
      </c>
      <c r="J36" s="393">
        <f>LOOKUP(I36,110:110,111:111)-LOOKUP(C36,110:110,111:111)+100</f>
        <v>102</v>
      </c>
      <c r="K36" s="568">
        <v>2</v>
      </c>
      <c r="L36" s="2949"/>
      <c r="M36" s="2943"/>
      <c r="N36" s="2943"/>
      <c r="O36" s="2943"/>
      <c r="P36" s="3326"/>
      <c r="Q36" s="1534" t="str">
        <f t="shared" si="11"/>
        <v>成新度</v>
      </c>
      <c r="R36" s="712" t="s">
        <v>17</v>
      </c>
      <c r="S36" s="713">
        <f t="shared" si="12"/>
        <v>102</v>
      </c>
      <c r="T36" s="712" t="s">
        <v>17</v>
      </c>
      <c r="U36" s="713">
        <f t="shared" si="13"/>
        <v>102</v>
      </c>
      <c r="V36" s="712" t="s">
        <v>17</v>
      </c>
      <c r="W36" s="713">
        <f t="shared" si="14"/>
        <v>102</v>
      </c>
      <c r="X36" s="1537"/>
      <c r="Y36" s="3328"/>
      <c r="Z36" s="1538" t="str">
        <f t="shared" si="15"/>
        <v>成新度</v>
      </c>
      <c r="AA36" s="1535">
        <f t="shared" si="3"/>
        <v>0.98039215686274506</v>
      </c>
      <c r="AB36" s="1535">
        <f t="shared" si="4"/>
        <v>0.98039215686274506</v>
      </c>
      <c r="AC36" s="1535">
        <f t="shared" si="5"/>
        <v>0.98039215686274506</v>
      </c>
    </row>
    <row r="37" spans="1:29" s="113" customFormat="1" ht="15">
      <c r="A37" s="431"/>
      <c r="B37" s="380" t="s">
        <v>2484</v>
      </c>
      <c r="C37" s="2090" t="s">
        <v>3098</v>
      </c>
      <c r="D37" s="131">
        <v>100</v>
      </c>
      <c r="E37" s="2090" t="s">
        <v>3098</v>
      </c>
      <c r="F37" s="419">
        <f>SUMIF(112:112,E37,113:113)-SUMIF(112:112,C37,113:113)+100</f>
        <v>100</v>
      </c>
      <c r="G37" s="2090" t="s">
        <v>3098</v>
      </c>
      <c r="H37" s="393">
        <f>SUMIF(112:112,G37,113:113)-SUMIF(112:112,C37,113:113)+100</f>
        <v>100</v>
      </c>
      <c r="I37" s="2090" t="s">
        <v>3098</v>
      </c>
      <c r="J37" s="393">
        <f>SUMIF(112:112,I37,113:113)-SUMIF(112:112,C37,113:113)+100</f>
        <v>100</v>
      </c>
      <c r="K37" s="568">
        <v>2</v>
      </c>
      <c r="L37" s="2944"/>
      <c r="M37" s="2945"/>
      <c r="N37" s="2945"/>
      <c r="O37" s="2945"/>
      <c r="P37" s="3326"/>
      <c r="Q37" s="1525" t="str">
        <f t="shared" si="11"/>
        <v>市政基础设施</v>
      </c>
      <c r="R37" s="708" t="s">
        <v>17</v>
      </c>
      <c r="S37" s="709">
        <f t="shared" si="12"/>
        <v>100</v>
      </c>
      <c r="T37" s="708" t="s">
        <v>17</v>
      </c>
      <c r="U37" s="709">
        <f t="shared" si="13"/>
        <v>100</v>
      </c>
      <c r="V37" s="708" t="s">
        <v>17</v>
      </c>
      <c r="W37" s="709">
        <f t="shared" si="14"/>
        <v>100</v>
      </c>
      <c r="X37" s="710"/>
      <c r="Y37" s="3328"/>
      <c r="Z37" s="55" t="str">
        <f t="shared" si="15"/>
        <v>市政基础设施</v>
      </c>
      <c r="AA37" s="711">
        <f t="shared" si="3"/>
        <v>1</v>
      </c>
      <c r="AB37" s="711">
        <f t="shared" si="4"/>
        <v>1</v>
      </c>
      <c r="AC37" s="711">
        <f t="shared" si="5"/>
        <v>1</v>
      </c>
    </row>
    <row r="38" spans="1:29" ht="15">
      <c r="A38" s="430"/>
      <c r="B38" s="380" t="s">
        <v>2485</v>
      </c>
      <c r="C38" s="2090" t="s">
        <v>3100</v>
      </c>
      <c r="D38" s="393">
        <v>100</v>
      </c>
      <c r="E38" s="2090" t="s">
        <v>3100</v>
      </c>
      <c r="F38" s="419">
        <f>SUMIF(114:114,E38,115:115)-SUMIF(114:114,C38,115:115)+100</f>
        <v>100</v>
      </c>
      <c r="G38" s="2090" t="s">
        <v>3100</v>
      </c>
      <c r="H38" s="393">
        <f>SUMIF(114:114,G38,115:115)-SUMIF(114:114,C38,115:115)+100</f>
        <v>100</v>
      </c>
      <c r="I38" s="2090" t="s">
        <v>3100</v>
      </c>
      <c r="J38" s="393">
        <f>SUMIF(114:114,I38,115:115)-SUMIF(114:114,C38,115:115)+100</f>
        <v>100</v>
      </c>
      <c r="K38" s="568">
        <v>2</v>
      </c>
      <c r="L38" s="2949"/>
      <c r="M38" s="2943"/>
      <c r="N38" s="2943"/>
      <c r="O38" s="2943"/>
      <c r="P38" s="3326" t="s">
        <v>2386</v>
      </c>
      <c r="Q38" s="1534" t="str">
        <f t="shared" si="11"/>
        <v>业态</v>
      </c>
      <c r="R38" s="712" t="s">
        <v>17</v>
      </c>
      <c r="S38" s="713">
        <f t="shared" si="12"/>
        <v>100</v>
      </c>
      <c r="T38" s="712" t="s">
        <v>17</v>
      </c>
      <c r="U38" s="713">
        <f t="shared" si="13"/>
        <v>100</v>
      </c>
      <c r="V38" s="712" t="s">
        <v>17</v>
      </c>
      <c r="W38" s="713">
        <f t="shared" si="14"/>
        <v>100</v>
      </c>
      <c r="X38" s="1537"/>
      <c r="Y38" s="3328" t="s">
        <v>2386</v>
      </c>
      <c r="Z38" s="1538" t="str">
        <f t="shared" si="15"/>
        <v>业态</v>
      </c>
      <c r="AA38" s="1535">
        <f t="shared" si="3"/>
        <v>1</v>
      </c>
      <c r="AB38" s="1535">
        <f t="shared" si="4"/>
        <v>1</v>
      </c>
      <c r="AC38" s="1535">
        <f t="shared" si="5"/>
        <v>1</v>
      </c>
    </row>
    <row r="39" spans="1:29" ht="15">
      <c r="A39" s="430"/>
      <c r="B39" s="380" t="s">
        <v>2486</v>
      </c>
      <c r="C39" s="2090" t="s">
        <v>3103</v>
      </c>
      <c r="D39" s="393">
        <v>100</v>
      </c>
      <c r="E39" s="2090" t="s">
        <v>3103</v>
      </c>
      <c r="F39" s="419">
        <f>SUMIF(116:116,E39,117:117)-SUMIF(116:116,C39,117:117)+100</f>
        <v>100</v>
      </c>
      <c r="G39" s="2090" t="s">
        <v>3103</v>
      </c>
      <c r="H39" s="393">
        <f>SUMIF(116:116,G39,117:117)-SUMIF(116:116,C39,117:117)+100</f>
        <v>100</v>
      </c>
      <c r="I39" s="2090" t="s">
        <v>3103</v>
      </c>
      <c r="J39" s="393">
        <f>SUMIF(116:116,I39,117:117)-SUMIF(116:116,C39,117:117)+100</f>
        <v>100</v>
      </c>
      <c r="K39" s="568">
        <v>5</v>
      </c>
      <c r="L39" s="2949"/>
      <c r="M39" s="2943"/>
      <c r="N39" s="2943"/>
      <c r="O39" s="2943"/>
      <c r="P39" s="3326"/>
      <c r="Q39" s="1534" t="str">
        <f t="shared" si="11"/>
        <v>层高</v>
      </c>
      <c r="R39" s="712" t="s">
        <v>17</v>
      </c>
      <c r="S39" s="713">
        <f t="shared" si="12"/>
        <v>100</v>
      </c>
      <c r="T39" s="712" t="s">
        <v>17</v>
      </c>
      <c r="U39" s="713">
        <f t="shared" si="13"/>
        <v>100</v>
      </c>
      <c r="V39" s="712" t="s">
        <v>17</v>
      </c>
      <c r="W39" s="713">
        <f t="shared" si="14"/>
        <v>100</v>
      </c>
      <c r="X39" s="1537"/>
      <c r="Y39" s="3328"/>
      <c r="Z39" s="1538" t="str">
        <f t="shared" si="15"/>
        <v>层高</v>
      </c>
      <c r="AA39" s="1535">
        <f t="shared" si="3"/>
        <v>1</v>
      </c>
      <c r="AB39" s="1535">
        <f t="shared" si="4"/>
        <v>1</v>
      </c>
      <c r="AC39" s="1535">
        <f t="shared" si="5"/>
        <v>1</v>
      </c>
    </row>
    <row r="40" spans="1:29" ht="15" hidden="1">
      <c r="A40" s="430"/>
      <c r="B40" s="380" t="s">
        <v>2487</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49"/>
      <c r="M40" s="2943"/>
      <c r="N40" s="2943"/>
      <c r="O40" s="2943"/>
      <c r="P40" s="3326"/>
      <c r="Q40" s="1534" t="str">
        <f t="shared" si="11"/>
        <v>单套建筑面积</v>
      </c>
      <c r="R40" s="712" t="s">
        <v>17</v>
      </c>
      <c r="S40" s="713">
        <f t="shared" si="12"/>
        <v>100</v>
      </c>
      <c r="T40" s="712" t="s">
        <v>17</v>
      </c>
      <c r="U40" s="713">
        <f t="shared" si="13"/>
        <v>100</v>
      </c>
      <c r="V40" s="712" t="s">
        <v>17</v>
      </c>
      <c r="W40" s="713">
        <f t="shared" si="14"/>
        <v>100</v>
      </c>
      <c r="X40" s="1537"/>
      <c r="Y40" s="3328"/>
      <c r="Z40" s="1538" t="str">
        <f t="shared" si="15"/>
        <v>单套建筑面积</v>
      </c>
      <c r="AA40" s="1535">
        <f t="shared" si="3"/>
        <v>1</v>
      </c>
      <c r="AB40" s="1535">
        <f t="shared" si="4"/>
        <v>1</v>
      </c>
      <c r="AC40" s="1535">
        <f t="shared" si="5"/>
        <v>1</v>
      </c>
    </row>
    <row r="41" spans="1:29" s="429" customFormat="1" ht="15">
      <c r="A41" s="426"/>
      <c r="B41" s="1536" t="s">
        <v>2488</v>
      </c>
      <c r="C41" s="572" t="s">
        <v>3104</v>
      </c>
      <c r="D41" s="393">
        <v>100</v>
      </c>
      <c r="E41" s="572" t="s">
        <v>3104</v>
      </c>
      <c r="F41" s="419">
        <f>SUMIF(120:120,E41,121:121)-SUMIF(120:120,C41,121:121)+100</f>
        <v>100</v>
      </c>
      <c r="G41" s="572" t="s">
        <v>3104</v>
      </c>
      <c r="H41" s="393">
        <f>SUMIF(120:120,G41,121:121)-SUMIF(120:120,C41,121:121)+100</f>
        <v>100</v>
      </c>
      <c r="I41" s="572" t="s">
        <v>3104</v>
      </c>
      <c r="J41" s="393">
        <f>SUMIF(120:120,I41,121:121)-SUMIF(120:120,C41,121:121)+100</f>
        <v>100</v>
      </c>
      <c r="K41" s="568">
        <v>2</v>
      </c>
      <c r="L41" s="2948"/>
      <c r="M41" s="2950"/>
      <c r="N41" s="2950"/>
      <c r="O41" s="2950"/>
      <c r="P41" s="3326"/>
      <c r="Q41" s="714" t="str">
        <f t="shared" si="11"/>
        <v>进深比</v>
      </c>
      <c r="R41" s="715" t="s">
        <v>17</v>
      </c>
      <c r="S41" s="716">
        <f t="shared" si="12"/>
        <v>100</v>
      </c>
      <c r="T41" s="715" t="s">
        <v>17</v>
      </c>
      <c r="U41" s="716">
        <f t="shared" si="13"/>
        <v>100</v>
      </c>
      <c r="V41" s="715" t="s">
        <v>17</v>
      </c>
      <c r="W41" s="716">
        <f t="shared" si="14"/>
        <v>100</v>
      </c>
      <c r="X41" s="717"/>
      <c r="Y41" s="3328"/>
      <c r="Z41" s="718" t="str">
        <f t="shared" si="15"/>
        <v>进深比</v>
      </c>
      <c r="AA41" s="1535">
        <f t="shared" si="3"/>
        <v>1</v>
      </c>
      <c r="AB41" s="1535">
        <f t="shared" si="4"/>
        <v>1</v>
      </c>
      <c r="AC41" s="1535">
        <f t="shared" si="5"/>
        <v>1</v>
      </c>
    </row>
    <row r="42" spans="1:29" ht="15">
      <c r="A42" s="430"/>
      <c r="B42" s="380" t="s">
        <v>2489</v>
      </c>
      <c r="C42" s="2090" t="s">
        <v>3106</v>
      </c>
      <c r="D42" s="393">
        <v>100</v>
      </c>
      <c r="E42" s="2090" t="s">
        <v>3106</v>
      </c>
      <c r="F42" s="419">
        <f>SUMIF(122:122,E42,123:123)-SUMIF(122:122,C42,123:123)+100</f>
        <v>100</v>
      </c>
      <c r="G42" s="2090" t="s">
        <v>3106</v>
      </c>
      <c r="H42" s="393">
        <f>SUMIF(122:122,G42,123:123)-SUMIF(122:122,C42,123:123)+100</f>
        <v>100</v>
      </c>
      <c r="I42" s="2090" t="s">
        <v>3106</v>
      </c>
      <c r="J42" s="393">
        <f>SUMIF(122:122,I42,123:123)-SUMIF(122:122,C42,123:123)+100</f>
        <v>100</v>
      </c>
      <c r="K42" s="568">
        <v>3</v>
      </c>
      <c r="L42" s="2949"/>
      <c r="M42" s="2943"/>
      <c r="N42" s="2943"/>
      <c r="O42" s="2943"/>
      <c r="P42" s="3326"/>
      <c r="Q42" s="1534" t="str">
        <f t="shared" si="11"/>
        <v>内部装修</v>
      </c>
      <c r="R42" s="712" t="s">
        <v>17</v>
      </c>
      <c r="S42" s="713">
        <f t="shared" si="12"/>
        <v>100</v>
      </c>
      <c r="T42" s="712" t="s">
        <v>17</v>
      </c>
      <c r="U42" s="713">
        <f t="shared" si="13"/>
        <v>100</v>
      </c>
      <c r="V42" s="712" t="s">
        <v>17</v>
      </c>
      <c r="W42" s="713">
        <f t="shared" si="14"/>
        <v>100</v>
      </c>
      <c r="X42" s="1537"/>
      <c r="Y42" s="3328"/>
      <c r="Z42" s="1538" t="str">
        <f t="shared" si="15"/>
        <v>内部装修</v>
      </c>
      <c r="AA42" s="1535">
        <f t="shared" si="3"/>
        <v>1</v>
      </c>
      <c r="AB42" s="1535">
        <f t="shared" si="4"/>
        <v>1</v>
      </c>
      <c r="AC42" s="1535">
        <f t="shared" si="5"/>
        <v>1</v>
      </c>
    </row>
    <row r="43" spans="1:29" ht="15.75" thickBot="1">
      <c r="A43" s="430"/>
      <c r="B43" s="380" t="s">
        <v>2397</v>
      </c>
      <c r="C43" s="2090" t="s">
        <v>3080</v>
      </c>
      <c r="D43" s="393">
        <v>100</v>
      </c>
      <c r="E43" s="2090" t="s">
        <v>3080</v>
      </c>
      <c r="F43" s="419">
        <f>SUMIF(124:124,E43,125:125)-SUMIF(124:124,C43,125:125)+100</f>
        <v>100</v>
      </c>
      <c r="G43" s="2090" t="s">
        <v>3080</v>
      </c>
      <c r="H43" s="393">
        <f>SUMIF(124:124,G43,125:125)-SUMIF(124:124,C43,125:125)+100</f>
        <v>100</v>
      </c>
      <c r="I43" s="2090" t="s">
        <v>3080</v>
      </c>
      <c r="J43" s="393">
        <f>SUMIF(124:124,I43,125:125)-SUMIF(124:124,C43,125:125)+100</f>
        <v>100</v>
      </c>
      <c r="K43" s="568">
        <v>2</v>
      </c>
      <c r="L43" s="2949"/>
      <c r="M43" s="2943"/>
      <c r="N43" s="2943"/>
      <c r="O43" s="2943"/>
      <c r="P43" s="3326"/>
      <c r="Q43" s="1534" t="str">
        <f t="shared" si="11"/>
        <v>内部装修维护情况</v>
      </c>
      <c r="R43" s="712" t="s">
        <v>17</v>
      </c>
      <c r="S43" s="713">
        <f t="shared" si="12"/>
        <v>100</v>
      </c>
      <c r="T43" s="712" t="s">
        <v>17</v>
      </c>
      <c r="U43" s="713">
        <f t="shared" si="13"/>
        <v>100</v>
      </c>
      <c r="V43" s="712" t="s">
        <v>17</v>
      </c>
      <c r="W43" s="713">
        <f t="shared" si="14"/>
        <v>100</v>
      </c>
      <c r="X43" s="1537"/>
      <c r="Y43" s="3328"/>
      <c r="Z43" s="1538" t="str">
        <f t="shared" si="15"/>
        <v>内部装修维护情况</v>
      </c>
      <c r="AA43" s="1535">
        <f t="shared" si="3"/>
        <v>1</v>
      </c>
      <c r="AB43" s="1535">
        <f t="shared" si="4"/>
        <v>1</v>
      </c>
      <c r="AC43" s="1535">
        <f t="shared" si="5"/>
        <v>1</v>
      </c>
    </row>
    <row r="44" spans="1:29" s="113" customFormat="1" ht="15" hidden="1">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26"/>
      <c r="Q44" s="1525">
        <f t="shared" si="11"/>
        <v>111</v>
      </c>
      <c r="R44" s="708" t="s">
        <v>17</v>
      </c>
      <c r="S44" s="709">
        <f t="shared" si="12"/>
        <v>100</v>
      </c>
      <c r="T44" s="708" t="s">
        <v>17</v>
      </c>
      <c r="U44" s="709">
        <f t="shared" si="13"/>
        <v>100</v>
      </c>
      <c r="V44" s="708" t="s">
        <v>17</v>
      </c>
      <c r="W44" s="709">
        <f t="shared" si="14"/>
        <v>100</v>
      </c>
      <c r="X44" s="710"/>
      <c r="Y44" s="3328"/>
      <c r="Z44" s="55">
        <f t="shared" si="15"/>
        <v>111</v>
      </c>
      <c r="AA44" s="711">
        <f t="shared" si="3"/>
        <v>1</v>
      </c>
      <c r="AB44" s="711">
        <f t="shared" si="4"/>
        <v>1</v>
      </c>
      <c r="AC44" s="711">
        <f t="shared" si="5"/>
        <v>1</v>
      </c>
    </row>
    <row r="45" spans="1:29" ht="15" hidden="1">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26"/>
      <c r="Q45" s="1534">
        <f t="shared" si="11"/>
        <v>111</v>
      </c>
      <c r="R45" s="712" t="s">
        <v>17</v>
      </c>
      <c r="S45" s="713">
        <f t="shared" si="12"/>
        <v>100</v>
      </c>
      <c r="T45" s="712" t="s">
        <v>17</v>
      </c>
      <c r="U45" s="713">
        <f t="shared" si="13"/>
        <v>100</v>
      </c>
      <c r="V45" s="712" t="s">
        <v>17</v>
      </c>
      <c r="W45" s="713">
        <f t="shared" si="14"/>
        <v>100</v>
      </c>
      <c r="X45" s="1537"/>
      <c r="Y45" s="3328"/>
      <c r="Z45" s="1538">
        <f t="shared" si="15"/>
        <v>111</v>
      </c>
      <c r="AA45" s="1535">
        <f t="shared" si="3"/>
        <v>1</v>
      </c>
      <c r="AB45" s="1535">
        <f t="shared" si="4"/>
        <v>1</v>
      </c>
      <c r="AC45" s="1535">
        <f t="shared" si="5"/>
        <v>1</v>
      </c>
    </row>
    <row r="46" spans="1:29" ht="15.75" hidden="1"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27"/>
      <c r="Q46" s="1534">
        <f t="shared" si="11"/>
        <v>111</v>
      </c>
      <c r="R46" s="712" t="s">
        <v>17</v>
      </c>
      <c r="S46" s="713">
        <f t="shared" si="12"/>
        <v>100</v>
      </c>
      <c r="T46" s="712" t="s">
        <v>17</v>
      </c>
      <c r="U46" s="713">
        <f t="shared" si="13"/>
        <v>100</v>
      </c>
      <c r="V46" s="712" t="s">
        <v>17</v>
      </c>
      <c r="W46" s="713">
        <f t="shared" si="14"/>
        <v>100</v>
      </c>
      <c r="X46" s="1537"/>
      <c r="Y46" s="3329"/>
      <c r="Z46" s="1538">
        <f t="shared" si="15"/>
        <v>111</v>
      </c>
      <c r="AA46" s="1535">
        <f t="shared" si="3"/>
        <v>1</v>
      </c>
      <c r="AB46" s="1535">
        <f t="shared" si="4"/>
        <v>1</v>
      </c>
      <c r="AC46" s="1535">
        <f t="shared" si="5"/>
        <v>1</v>
      </c>
    </row>
    <row r="47" spans="1:29" ht="15">
      <c r="A47" s="437" t="s">
        <v>2398</v>
      </c>
      <c r="B47" s="438"/>
      <c r="C47" s="1314" t="s">
        <v>1</v>
      </c>
      <c r="D47" s="1315"/>
      <c r="E47" s="1316">
        <f>ROUND(14500*E50,0)</f>
        <v>14210</v>
      </c>
      <c r="F47" s="1317"/>
      <c r="G47" s="1318">
        <f>ROUND(17500*E50,0)</f>
        <v>17150</v>
      </c>
      <c r="H47" s="1319"/>
      <c r="I47" s="1316">
        <f>ROUND(14300*E50,0)</f>
        <v>14014</v>
      </c>
      <c r="J47" s="1319"/>
      <c r="K47" s="721"/>
      <c r="L47" s="2951"/>
      <c r="M47" s="2952"/>
      <c r="N47" s="2943"/>
      <c r="O47" s="2952"/>
      <c r="P47" s="3321" t="str">
        <f>A47</f>
        <v>成交单价（元/平方米）</v>
      </c>
      <c r="Q47" s="3321"/>
      <c r="R47" s="3316">
        <f>E47</f>
        <v>14210</v>
      </c>
      <c r="S47" s="3316"/>
      <c r="T47" s="3316">
        <f>G47</f>
        <v>17150</v>
      </c>
      <c r="U47" s="3316"/>
      <c r="V47" s="3316">
        <f>I47</f>
        <v>14014</v>
      </c>
      <c r="W47" s="3316"/>
      <c r="X47" s="697"/>
      <c r="Y47" s="719"/>
      <c r="Z47" s="697"/>
      <c r="AA47" s="697"/>
      <c r="AB47" s="697"/>
      <c r="AC47" s="697"/>
    </row>
    <row r="48" spans="1:29" ht="15.75" thickBot="1">
      <c r="A48" s="444" t="s">
        <v>2490</v>
      </c>
      <c r="B48" s="445"/>
      <c r="C48" s="1320">
        <f>R49</f>
        <v>11862</v>
      </c>
      <c r="D48" s="2536" t="s">
        <v>2880</v>
      </c>
      <c r="E48" s="1321">
        <f>R48</f>
        <v>12310</v>
      </c>
      <c r="F48" s="2537"/>
      <c r="G48" s="1320">
        <f>T48</f>
        <v>12142</v>
      </c>
      <c r="H48" s="2537"/>
      <c r="I48" s="1321">
        <f>V48</f>
        <v>11134</v>
      </c>
      <c r="J48" s="2537"/>
      <c r="K48" s="2539">
        <f>F48+H48+J48</f>
        <v>0</v>
      </c>
      <c r="L48" s="2951"/>
      <c r="M48" s="2952"/>
      <c r="N48" s="2943"/>
      <c r="O48" s="2952"/>
      <c r="P48" s="3321" t="str">
        <f>A48</f>
        <v>比较价值（元/平方米）</v>
      </c>
      <c r="Q48" s="3321"/>
      <c r="R48" s="3322">
        <f>IF(F1="售价",ROUND(PRODUCT(R47,AA7:AA46),0),ROUND(PRODUCT(R47,AA7:AA46),1))</f>
        <v>12310</v>
      </c>
      <c r="S48" s="3322"/>
      <c r="T48" s="3322">
        <f>IF(F1="售价",ROUND(PRODUCT(T47,AB7:AB46),0),ROUND(PRODUCT(T47,AB7:AB46),1))</f>
        <v>12142</v>
      </c>
      <c r="U48" s="3322"/>
      <c r="V48" s="3322">
        <f>IF(F1="售价",ROUND(PRODUCT(V47,AC7:AC46),0),ROUND(PRODUCT(V47,AC7:AC46),1))</f>
        <v>11134</v>
      </c>
      <c r="W48" s="3322"/>
      <c r="X48" s="697"/>
      <c r="Y48" s="697"/>
      <c r="Z48" s="697"/>
      <c r="AA48" s="697"/>
      <c r="AB48" s="697"/>
      <c r="AC48" s="697"/>
    </row>
    <row r="49" spans="1:29" ht="15.75" thickBot="1">
      <c r="A49" s="448" t="s">
        <v>2491</v>
      </c>
      <c r="B49" s="449"/>
      <c r="C49" s="1323">
        <f>R49</f>
        <v>11862</v>
      </c>
      <c r="D49" s="1323"/>
      <c r="E49" s="1323"/>
      <c r="F49" s="1323"/>
      <c r="G49" s="1323"/>
      <c r="H49" s="1323"/>
      <c r="I49" s="1323"/>
      <c r="J49" s="1323"/>
      <c r="K49" s="722"/>
      <c r="L49" s="2951"/>
      <c r="M49" s="2952"/>
      <c r="N49" s="2943"/>
      <c r="O49" s="2952"/>
      <c r="P49" s="3318" t="str">
        <f>A49</f>
        <v>估价对象XX用房的比较价值（楼面单价，元/平方米）</v>
      </c>
      <c r="Q49" s="3319"/>
      <c r="R49" s="3320">
        <f>IF(F1="售价",ROUND(IF(D48="简单平均",AVERAGE(R48:V48),R48*F48+T48*H48+V48*J48),0),ROUND(IF(D48="简单平均",AVERAGE(R48:V48),R48*F48+T48*H48+V48*J48),1))</f>
        <v>11862</v>
      </c>
      <c r="S49" s="3320"/>
      <c r="T49" s="3320"/>
      <c r="U49" s="3320"/>
      <c r="V49" s="3320"/>
      <c r="W49" s="3320"/>
      <c r="X49" s="697"/>
      <c r="Y49" s="697"/>
      <c r="Z49" s="697"/>
      <c r="AA49" s="697"/>
      <c r="AB49" s="697"/>
      <c r="AC49" s="697"/>
    </row>
    <row r="50" spans="1:29">
      <c r="A50" s="2952"/>
      <c r="B50" s="2952"/>
      <c r="C50" s="2952"/>
      <c r="D50" s="2952"/>
      <c r="E50" s="2952">
        <v>0.98</v>
      </c>
      <c r="F50" s="2952"/>
      <c r="G50" s="2956"/>
      <c r="H50" s="2952"/>
      <c r="I50" s="2952">
        <f ca="1">典型户型修正!B20</f>
        <v>19623</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2492</v>
      </c>
      <c r="D52" s="454"/>
      <c r="E52" s="455">
        <f>IF(E47&lt;E48,E48/E47-1,E47/E48-1)</f>
        <v>0.15434606011372876</v>
      </c>
      <c r="F52" s="456" t="str">
        <f>IF(OR(E52&gt;=0.3,E52&lt;=-0.3),"超过30%","")</f>
        <v/>
      </c>
      <c r="G52" s="455">
        <f>IF(G47&lt;G48,G48/G47-1,G47/G48-1)</f>
        <v>0.41245264371602697</v>
      </c>
      <c r="H52" s="456" t="str">
        <f>IF(OR(G52&gt;=0.3,G52&lt;=-0.3),"超过30%","")</f>
        <v>超过30%</v>
      </c>
      <c r="I52" s="455">
        <f>IF(I47&lt;I48,I48/I47-1,I47/I48-1)</f>
        <v>0.25866714567989946</v>
      </c>
      <c r="J52" s="456"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2493</v>
      </c>
      <c r="D53" s="457"/>
      <c r="E53" s="455">
        <f>IF(E48&lt;G48,G48/E48-1,E48/G48-1)</f>
        <v>1.383627079558547E-2</v>
      </c>
      <c r="F53" s="456" t="str">
        <f>IF(OR(E53&gt;=0.2,E53&lt;=-0.2),"超过20%","")</f>
        <v/>
      </c>
      <c r="G53" s="455">
        <f>IF(G48&lt;I48,I48/G48-1,G48/I48-1)</f>
        <v>9.0533500987964866E-2</v>
      </c>
      <c r="H53" s="456" t="str">
        <f>IF(OR(G53&gt;=0.2,G53&lt;=-0.2),"超过20%","")</f>
        <v/>
      </c>
      <c r="I53" s="455">
        <f>IF(I48&lt;E48,E48/I48-1,I48/E48-1)</f>
        <v>0.10562241781929216</v>
      </c>
      <c r="J53" s="456"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2494</v>
      </c>
      <c r="D54" s="457"/>
      <c r="E54" s="455">
        <f>IF(E47&lt;G47,G47/E47-1,E47/G47-1)</f>
        <v>0.2068965517241379</v>
      </c>
      <c r="F54" s="456" t="str">
        <f>IF(OR(E54&gt;=0.3,E54&lt;=-0.3),"超过30%","")</f>
        <v/>
      </c>
      <c r="G54" s="455">
        <f>IF(G47&lt;I47,I47/G47-1,G47/I47-1)</f>
        <v>0.22377622377622375</v>
      </c>
      <c r="H54" s="456" t="str">
        <f>IF(OR(G54&gt;=0.3,G54&lt;=-0.3),"超过30%","")</f>
        <v/>
      </c>
      <c r="I54" s="455">
        <f>IF(I47&lt;E47,E47/I47-1,I47/E47-1)</f>
        <v>1.3986013986013957E-2</v>
      </c>
      <c r="J54" s="456"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1" t="s">
        <v>2495</v>
      </c>
      <c r="B57" s="697"/>
      <c r="C57" s="702"/>
      <c r="D57" s="702"/>
      <c r="E57" s="702"/>
      <c r="F57" s="703"/>
      <c r="G57" s="703"/>
      <c r="H57" s="702"/>
      <c r="I57" s="702"/>
      <c r="J57" s="702"/>
      <c r="K57" s="704"/>
      <c r="L57" s="1071"/>
      <c r="M57" s="1069"/>
      <c r="N57" s="1069"/>
      <c r="O57" s="1069"/>
      <c r="P57" s="2965"/>
      <c r="Q57" s="2966"/>
      <c r="R57" s="2952"/>
      <c r="S57" s="2952"/>
      <c r="T57" s="2952"/>
      <c r="U57" s="2952"/>
      <c r="V57" s="2952"/>
      <c r="W57" s="2952"/>
      <c r="X57" s="2952"/>
      <c r="Y57" s="2952"/>
      <c r="Z57" s="2952"/>
      <c r="AA57" s="2952"/>
      <c r="AB57" s="2952"/>
      <c r="AC57" s="2952"/>
    </row>
    <row r="58" spans="1:29" s="464" customFormat="1" ht="15">
      <c r="A58" s="461" t="s">
        <v>2369</v>
      </c>
      <c r="B58" s="462"/>
      <c r="C58" s="1344" t="str">
        <f>YEAR(C7)&amp;"-"&amp;MONTH(C7)</f>
        <v>2021-12</v>
      </c>
      <c r="D58" s="1345">
        <f>EDATE(C58,-1)</f>
        <v>44501</v>
      </c>
      <c r="E58" s="1345">
        <f t="shared" ref="E58:N58" si="16">EDATE(D58,-1)</f>
        <v>44470</v>
      </c>
      <c r="F58" s="1345">
        <f t="shared" si="16"/>
        <v>44440</v>
      </c>
      <c r="G58" s="1345">
        <f t="shared" si="16"/>
        <v>44409</v>
      </c>
      <c r="H58" s="1345">
        <f t="shared" si="16"/>
        <v>44378</v>
      </c>
      <c r="I58" s="1345">
        <f t="shared" si="16"/>
        <v>44348</v>
      </c>
      <c r="J58" s="1345">
        <f t="shared" si="16"/>
        <v>44317</v>
      </c>
      <c r="K58" s="1345">
        <f t="shared" si="16"/>
        <v>44287</v>
      </c>
      <c r="L58" s="1345">
        <f t="shared" si="16"/>
        <v>44256</v>
      </c>
      <c r="M58" s="1345">
        <f t="shared" si="16"/>
        <v>44228</v>
      </c>
      <c r="N58" s="1345">
        <f t="shared" si="16"/>
        <v>44197</v>
      </c>
      <c r="O58" s="1345">
        <f>EDATE(N58,-1)</f>
        <v>44166</v>
      </c>
      <c r="P58" s="2967"/>
      <c r="Q58" s="2968"/>
      <c r="R58" s="2968"/>
      <c r="S58" s="2968"/>
      <c r="T58" s="2968"/>
      <c r="U58" s="2968"/>
      <c r="V58" s="2968"/>
      <c r="W58" s="2968"/>
      <c r="X58" s="2968"/>
      <c r="Y58" s="2968"/>
      <c r="Z58" s="2968"/>
      <c r="AA58" s="2968"/>
      <c r="AB58" s="2968"/>
      <c r="AC58" s="2968"/>
    </row>
    <row r="59" spans="1:29" s="113"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3" customFormat="1" ht="15.75" thickBot="1">
      <c r="A60" s="471" t="s">
        <v>2406</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3" customFormat="1" ht="15">
      <c r="A61" s="477" t="s">
        <v>2371</v>
      </c>
      <c r="B61" s="466"/>
      <c r="C61" s="478" t="s">
        <v>2473</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2409</v>
      </c>
      <c r="B63" s="484" t="s">
        <v>2375</v>
      </c>
      <c r="C63" s="485" t="str">
        <f>C9</f>
        <v>商业</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99</v>
      </c>
      <c r="H66" s="500">
        <f>G66-$K10</f>
        <v>98</v>
      </c>
      <c r="I66" s="500">
        <f>H66-$K10</f>
        <v>97</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2379</v>
      </c>
      <c r="C67" s="503" t="str">
        <f>C68&amp;"（含）"&amp;"-"&amp;D68</f>
        <v>0（含）-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v>0</v>
      </c>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2380</v>
      </c>
      <c r="B76" s="484" t="s">
        <v>2417</v>
      </c>
      <c r="C76" s="529" t="s">
        <v>2418</v>
      </c>
      <c r="D76" s="529" t="s">
        <v>2419</v>
      </c>
      <c r="E76" s="529" t="s">
        <v>2420</v>
      </c>
      <c r="F76" s="529" t="s">
        <v>2421</v>
      </c>
      <c r="G76" s="529" t="s">
        <v>2422</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96</v>
      </c>
      <c r="E77" s="500">
        <f>D77-$K15</f>
        <v>92</v>
      </c>
      <c r="F77" s="500">
        <f>E77-$K15</f>
        <v>88</v>
      </c>
      <c r="G77" s="500">
        <f>F77-$K15</f>
        <v>84</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2423</v>
      </c>
      <c r="C78" s="534" t="s">
        <v>2418</v>
      </c>
      <c r="D78" s="534" t="s">
        <v>2419</v>
      </c>
      <c r="E78" s="534" t="s">
        <v>2420</v>
      </c>
      <c r="F78" s="534" t="s">
        <v>2421</v>
      </c>
      <c r="G78" s="534" t="s">
        <v>2422</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96</v>
      </c>
      <c r="E79" s="500">
        <f>D79-$K17</f>
        <v>92</v>
      </c>
      <c r="F79" s="500">
        <f>E79-$K17</f>
        <v>88</v>
      </c>
      <c r="G79" s="500">
        <f>F79-$K17</f>
        <v>84</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2424</v>
      </c>
      <c r="C80" s="534" t="s">
        <v>2418</v>
      </c>
      <c r="D80" s="534" t="s">
        <v>2419</v>
      </c>
      <c r="E80" s="534" t="s">
        <v>2420</v>
      </c>
      <c r="F80" s="534" t="s">
        <v>2421</v>
      </c>
      <c r="G80" s="534" t="s">
        <v>2422</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96</v>
      </c>
      <c r="E81" s="500">
        <f>D81-$K19</f>
        <v>92</v>
      </c>
      <c r="F81" s="500">
        <f>E81-$K19</f>
        <v>88</v>
      </c>
      <c r="G81" s="500">
        <f>F81-$K19</f>
        <v>84</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2476</v>
      </c>
      <c r="C82" s="614" t="s">
        <v>2496</v>
      </c>
      <c r="D82" s="614" t="s">
        <v>2497</v>
      </c>
      <c r="E82" s="614" t="s">
        <v>2498</v>
      </c>
      <c r="F82" s="614" t="s">
        <v>2499</v>
      </c>
      <c r="G82" s="614" t="s">
        <v>2500</v>
      </c>
      <c r="H82" s="495"/>
      <c r="I82" s="495"/>
      <c r="J82" s="495"/>
      <c r="K82" s="495"/>
      <c r="L82" s="495"/>
      <c r="M82" s="1289"/>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97</v>
      </c>
      <c r="E83" s="500">
        <f t="shared" ref="E83:G83" si="19">D83-$K21</f>
        <v>94</v>
      </c>
      <c r="F83" s="500">
        <f t="shared" si="19"/>
        <v>91</v>
      </c>
      <c r="G83" s="500">
        <f t="shared" si="19"/>
        <v>88</v>
      </c>
      <c r="H83" s="614"/>
      <c r="I83" s="614"/>
      <c r="J83" s="614"/>
      <c r="K83" s="614"/>
      <c r="L83" s="614"/>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2430</v>
      </c>
      <c r="C84" s="534" t="s">
        <v>2418</v>
      </c>
      <c r="D84" s="534" t="s">
        <v>2419</v>
      </c>
      <c r="E84" s="534" t="s">
        <v>2420</v>
      </c>
      <c r="F84" s="534" t="s">
        <v>2421</v>
      </c>
      <c r="G84" s="534" t="s">
        <v>2422</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97</v>
      </c>
      <c r="E85" s="500">
        <f>D85-$K23</f>
        <v>94</v>
      </c>
      <c r="F85" s="500">
        <f>E85-$K23</f>
        <v>91</v>
      </c>
      <c r="G85" s="500">
        <f>F85-$K23</f>
        <v>88</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3" customFormat="1" ht="15.75" thickTop="1">
      <c r="A86" s="535"/>
      <c r="B86" s="494" t="s">
        <v>2501</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t="s">
        <v>3079</v>
      </c>
      <c r="D88" s="510" t="s">
        <v>3080</v>
      </c>
      <c r="E88" s="510" t="s">
        <v>3081</v>
      </c>
      <c r="F88" s="2111" t="s">
        <v>3082</v>
      </c>
      <c r="G88" s="510" t="s">
        <v>3083</v>
      </c>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3" customFormat="1" ht="15.75" thickBot="1">
      <c r="A89" s="535"/>
      <c r="B89" s="499"/>
      <c r="C89" s="516">
        <v>100</v>
      </c>
      <c r="D89" s="492">
        <v>95</v>
      </c>
      <c r="E89" s="492">
        <v>90</v>
      </c>
      <c r="F89" s="492">
        <v>85</v>
      </c>
      <c r="G89" s="492">
        <v>80</v>
      </c>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t="s">
        <v>3084</v>
      </c>
      <c r="D90" s="510" t="s">
        <v>3085</v>
      </c>
      <c r="E90" s="510" t="s">
        <v>3081</v>
      </c>
      <c r="F90" s="510" t="s">
        <v>3086</v>
      </c>
      <c r="G90" s="510" t="s">
        <v>3087</v>
      </c>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t="s">
        <v>3088</v>
      </c>
      <c r="D92" s="510" t="s">
        <v>3089</v>
      </c>
      <c r="E92" s="510" t="s">
        <v>3090</v>
      </c>
      <c r="F92" s="510" t="s">
        <v>3091</v>
      </c>
      <c r="G92" s="510" t="s">
        <v>3092</v>
      </c>
      <c r="H92" s="510" t="s">
        <v>3093</v>
      </c>
      <c r="I92" s="510" t="s">
        <v>3094</v>
      </c>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v>100</v>
      </c>
      <c r="D93" s="492">
        <v>70</v>
      </c>
      <c r="E93" s="492">
        <v>65</v>
      </c>
      <c r="F93" s="492">
        <v>60</v>
      </c>
      <c r="G93" s="492">
        <v>85</v>
      </c>
      <c r="H93" s="492">
        <v>78</v>
      </c>
      <c r="I93" s="492">
        <v>74</v>
      </c>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2"/>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2384</v>
      </c>
      <c r="B100" s="484" t="s">
        <v>2502</v>
      </c>
      <c r="C100" s="486" t="s">
        <v>3066</v>
      </c>
      <c r="D100" s="486" t="s">
        <v>3095</v>
      </c>
      <c r="E100" s="486" t="s">
        <v>3096</v>
      </c>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99</v>
      </c>
      <c r="E101" s="500">
        <f t="shared" si="22"/>
        <v>98</v>
      </c>
      <c r="F101" s="500">
        <f t="shared" si="22"/>
        <v>97</v>
      </c>
      <c r="G101" s="500">
        <f t="shared" si="22"/>
        <v>96</v>
      </c>
      <c r="H101" s="500">
        <f t="shared" si="22"/>
        <v>95</v>
      </c>
      <c r="I101" s="500">
        <f t="shared" si="22"/>
        <v>94</v>
      </c>
      <c r="J101" s="500">
        <f t="shared" si="22"/>
        <v>93</v>
      </c>
      <c r="K101" s="500">
        <f t="shared" si="22"/>
        <v>92</v>
      </c>
      <c r="L101" s="500">
        <f t="shared" si="22"/>
        <v>91</v>
      </c>
      <c r="M101" s="501">
        <f t="shared" si="22"/>
        <v>90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0"/>
      <c r="B102" s="494" t="s">
        <v>2434</v>
      </c>
      <c r="C102" s="534" t="str">
        <f>C103&amp;"(含)"&amp;"-"&amp;D103</f>
        <v>0(含)-100</v>
      </c>
      <c r="D102" s="534" t="str">
        <f t="shared" ref="D102:L102" si="23">D103&amp;"(含)"&amp;"-"&amp;E103</f>
        <v>100(含)-200</v>
      </c>
      <c r="E102" s="534" t="str">
        <f t="shared" si="23"/>
        <v>200(含)-500</v>
      </c>
      <c r="F102" s="534" t="str">
        <f t="shared" si="23"/>
        <v>500(含)-1000</v>
      </c>
      <c r="G102" s="534" t="str">
        <f t="shared" si="23"/>
        <v>1000(含)-2000</v>
      </c>
      <c r="H102" s="534" t="str">
        <f t="shared" si="23"/>
        <v>2000(含)-5000</v>
      </c>
      <c r="I102" s="534" t="str">
        <f t="shared" si="23"/>
        <v>5000(含)-</v>
      </c>
      <c r="J102" s="534" t="str">
        <f t="shared" si="23"/>
        <v>(含)-</v>
      </c>
      <c r="K102" s="534" t="str">
        <f t="shared" si="23"/>
        <v>(含)-</v>
      </c>
      <c r="L102" s="534" t="str">
        <f t="shared" si="23"/>
        <v>(含)-</v>
      </c>
      <c r="M102" s="576"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v>0</v>
      </c>
      <c r="D103" s="551">
        <v>100</v>
      </c>
      <c r="E103" s="551">
        <v>200</v>
      </c>
      <c r="F103" s="551">
        <v>500</v>
      </c>
      <c r="G103" s="551">
        <v>1000</v>
      </c>
      <c r="H103" s="551">
        <v>2000</v>
      </c>
      <c r="I103" s="551">
        <v>5000</v>
      </c>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v>100</v>
      </c>
      <c r="D104" s="492">
        <v>98</v>
      </c>
      <c r="E104" s="492">
        <v>96</v>
      </c>
      <c r="F104" s="492">
        <v>94</v>
      </c>
      <c r="G104" s="492">
        <v>92</v>
      </c>
      <c r="H104" s="492">
        <v>90</v>
      </c>
      <c r="I104" s="492">
        <v>88</v>
      </c>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2435</v>
      </c>
      <c r="C105" s="510" t="s">
        <v>3075</v>
      </c>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98</v>
      </c>
      <c r="E106" s="500">
        <f t="shared" si="24"/>
        <v>96</v>
      </c>
      <c r="F106" s="500">
        <f t="shared" si="24"/>
        <v>94</v>
      </c>
      <c r="G106" s="500">
        <f t="shared" si="24"/>
        <v>92</v>
      </c>
      <c r="H106" s="500">
        <f t="shared" si="24"/>
        <v>90</v>
      </c>
      <c r="I106" s="500">
        <f t="shared" si="24"/>
        <v>88</v>
      </c>
      <c r="J106" s="500">
        <f t="shared" si="24"/>
        <v>86</v>
      </c>
      <c r="K106" s="500">
        <f t="shared" si="24"/>
        <v>84</v>
      </c>
      <c r="L106" s="500">
        <f t="shared" si="24"/>
        <v>82</v>
      </c>
      <c r="M106" s="501">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2437</v>
      </c>
      <c r="C107" s="510" t="s">
        <v>3097</v>
      </c>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98</v>
      </c>
      <c r="E108" s="500">
        <f t="shared" si="25"/>
        <v>96</v>
      </c>
      <c r="F108" s="500">
        <f t="shared" si="25"/>
        <v>94</v>
      </c>
      <c r="G108" s="500">
        <f t="shared" si="25"/>
        <v>92</v>
      </c>
      <c r="H108" s="500">
        <f t="shared" si="25"/>
        <v>90</v>
      </c>
      <c r="I108" s="500">
        <f t="shared" si="25"/>
        <v>88</v>
      </c>
      <c r="J108" s="500">
        <f t="shared" si="25"/>
        <v>86</v>
      </c>
      <c r="K108" s="500">
        <f t="shared" si="25"/>
        <v>84</v>
      </c>
      <c r="L108" s="500">
        <f t="shared" si="25"/>
        <v>82</v>
      </c>
      <c r="M108" s="501">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7"/>
      <c r="J110" s="577"/>
      <c r="K110" s="578"/>
      <c r="L110" s="579"/>
      <c r="M110" s="580"/>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102</v>
      </c>
      <c r="E111" s="500">
        <f t="shared" ref="E111:M111" si="26">D111+$K36</f>
        <v>104</v>
      </c>
      <c r="F111" s="500">
        <f t="shared" si="26"/>
        <v>106</v>
      </c>
      <c r="G111" s="500">
        <f t="shared" si="26"/>
        <v>108</v>
      </c>
      <c r="H111" s="500">
        <f t="shared" si="26"/>
        <v>110</v>
      </c>
      <c r="I111" s="500">
        <f t="shared" si="26"/>
        <v>112</v>
      </c>
      <c r="J111" s="500">
        <f t="shared" si="26"/>
        <v>114</v>
      </c>
      <c r="K111" s="500">
        <f t="shared" si="26"/>
        <v>116</v>
      </c>
      <c r="L111" s="500">
        <f t="shared" si="26"/>
        <v>118</v>
      </c>
      <c r="M111" s="500">
        <f t="shared" si="26"/>
        <v>120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2439</v>
      </c>
      <c r="C112" s="510" t="s">
        <v>3098</v>
      </c>
      <c r="D112" s="510" t="s">
        <v>3099</v>
      </c>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98</v>
      </c>
      <c r="E113" s="500">
        <f t="shared" ref="E113:M113" si="27">D113-$K37</f>
        <v>96</v>
      </c>
      <c r="F113" s="500">
        <f t="shared" si="27"/>
        <v>94</v>
      </c>
      <c r="G113" s="500">
        <f t="shared" si="27"/>
        <v>92</v>
      </c>
      <c r="H113" s="500">
        <f t="shared" si="27"/>
        <v>90</v>
      </c>
      <c r="I113" s="500">
        <f t="shared" si="27"/>
        <v>88</v>
      </c>
      <c r="J113" s="500">
        <f t="shared" si="27"/>
        <v>86</v>
      </c>
      <c r="K113" s="500">
        <f t="shared" si="27"/>
        <v>84</v>
      </c>
      <c r="L113" s="500">
        <f t="shared" si="27"/>
        <v>82</v>
      </c>
      <c r="M113" s="500">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2503</v>
      </c>
      <c r="C114" s="510" t="s">
        <v>3100</v>
      </c>
      <c r="D114" s="510" t="s">
        <v>3101</v>
      </c>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98</v>
      </c>
      <c r="E115" s="500">
        <f t="shared" si="28"/>
        <v>96</v>
      </c>
      <c r="F115" s="500">
        <f t="shared" si="28"/>
        <v>94</v>
      </c>
      <c r="G115" s="500">
        <f t="shared" si="28"/>
        <v>92</v>
      </c>
      <c r="H115" s="500">
        <f t="shared" si="28"/>
        <v>90</v>
      </c>
      <c r="I115" s="500">
        <f t="shared" si="28"/>
        <v>88</v>
      </c>
      <c r="J115" s="500">
        <f t="shared" si="28"/>
        <v>86</v>
      </c>
      <c r="K115" s="500">
        <f t="shared" si="28"/>
        <v>84</v>
      </c>
      <c r="L115" s="500">
        <f t="shared" si="28"/>
        <v>82</v>
      </c>
      <c r="M115" s="501">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2504</v>
      </c>
      <c r="C116" s="510" t="s">
        <v>3102</v>
      </c>
      <c r="D116" s="510" t="s">
        <v>3103</v>
      </c>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95</v>
      </c>
      <c r="E117" s="500">
        <f>D117-$K39</f>
        <v>90</v>
      </c>
      <c r="F117" s="500">
        <f>E117-$K39</f>
        <v>85</v>
      </c>
      <c r="G117" s="500">
        <f>F117-$K39</f>
        <v>80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2505</v>
      </c>
      <c r="C118" s="581">
        <v>0</v>
      </c>
      <c r="D118" s="581">
        <v>0</v>
      </c>
      <c r="E118" s="581">
        <v>0</v>
      </c>
      <c r="F118" s="581">
        <v>0</v>
      </c>
      <c r="G118" s="581"/>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v>100</v>
      </c>
      <c r="D119" s="492">
        <v>105</v>
      </c>
      <c r="E119" s="492">
        <v>105</v>
      </c>
      <c r="F119" s="492">
        <v>110</v>
      </c>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2506</v>
      </c>
      <c r="C120" s="539" t="s">
        <v>3104</v>
      </c>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98</v>
      </c>
      <c r="E121" s="500">
        <f t="shared" ref="E121:M121" si="29">D121-$K41</f>
        <v>96</v>
      </c>
      <c r="F121" s="500">
        <f t="shared" si="29"/>
        <v>94</v>
      </c>
      <c r="G121" s="500">
        <f t="shared" si="29"/>
        <v>92</v>
      </c>
      <c r="H121" s="500">
        <f t="shared" si="29"/>
        <v>90</v>
      </c>
      <c r="I121" s="500">
        <f t="shared" si="29"/>
        <v>88</v>
      </c>
      <c r="J121" s="500">
        <f t="shared" si="29"/>
        <v>86</v>
      </c>
      <c r="K121" s="500">
        <f t="shared" si="29"/>
        <v>84</v>
      </c>
      <c r="L121" s="500">
        <f t="shared" si="29"/>
        <v>82</v>
      </c>
      <c r="M121" s="501">
        <f t="shared" si="29"/>
        <v>80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2441</v>
      </c>
      <c r="C122" s="510" t="s">
        <v>3097</v>
      </c>
      <c r="D122" s="510" t="s">
        <v>3105</v>
      </c>
      <c r="E122" s="510" t="s">
        <v>3106</v>
      </c>
      <c r="F122" s="539" t="s">
        <v>3107</v>
      </c>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97</v>
      </c>
      <c r="E123" s="500">
        <f t="shared" si="30"/>
        <v>94</v>
      </c>
      <c r="F123" s="500">
        <f t="shared" si="30"/>
        <v>91</v>
      </c>
      <c r="G123" s="500">
        <f t="shared" si="30"/>
        <v>88</v>
      </c>
      <c r="H123" s="500">
        <f t="shared" si="30"/>
        <v>85</v>
      </c>
      <c r="I123" s="500">
        <f t="shared" si="30"/>
        <v>82</v>
      </c>
      <c r="J123" s="500">
        <f t="shared" si="30"/>
        <v>79</v>
      </c>
      <c r="K123" s="500">
        <f t="shared" si="30"/>
        <v>76</v>
      </c>
      <c r="L123" s="500">
        <f t="shared" si="30"/>
        <v>73</v>
      </c>
      <c r="M123" s="501">
        <f t="shared" si="30"/>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4" sqref="D24"/>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0"/>
      <c r="C1" s="1561" t="s">
        <v>3072</v>
      </c>
      <c r="D1" s="1544" t="s">
        <v>70</v>
      </c>
      <c r="E1" s="1545" t="s">
        <v>1352</v>
      </c>
      <c r="F1" s="1191">
        <f ca="1">J53</f>
        <v>31.09</v>
      </c>
      <c r="G1" s="1560">
        <f>MATCH(C1,'数据-取费表'!A6:A16,0)+5</f>
        <v>6</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f ca="1">ROUND(D2/10000,0)</f>
        <v>232</v>
      </c>
      <c r="C2" s="1569" t="s">
        <v>1556</v>
      </c>
      <c r="D2" s="1653">
        <f ca="1">C40+J29+L46</f>
        <v>2319290</v>
      </c>
      <c r="E2" s="1570" t="s">
        <v>1557</v>
      </c>
      <c r="F2" s="1571"/>
      <c r="G2" s="2933"/>
      <c r="H2" s="2922"/>
      <c r="I2" s="2922"/>
      <c r="J2" s="2922"/>
      <c r="K2" s="2923"/>
      <c r="L2" s="2922"/>
      <c r="M2" s="2922"/>
    </row>
    <row r="3" spans="1:37" ht="18" customHeight="1" thickBot="1">
      <c r="A3" s="1572" t="s">
        <v>1558</v>
      </c>
      <c r="B3" s="1573">
        <f ca="1">IF(ISERROR(D2/F43),0,ROUND(D2/F43,0))</f>
        <v>5084</v>
      </c>
      <c r="C3" s="1569" t="s">
        <v>1559</v>
      </c>
      <c r="D3" s="1569"/>
      <c r="E3" s="1570"/>
      <c r="F3" s="1571"/>
      <c r="G3" s="2933"/>
      <c r="H3" s="690"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0">
        <f ca="1">C6+C10+C12</f>
        <v>184465</v>
      </c>
      <c r="D5" s="1546" t="s">
        <v>1566</v>
      </c>
      <c r="E5" s="1201"/>
      <c r="F5" s="1202"/>
      <c r="G5" s="1566"/>
      <c r="H5" s="304">
        <v>1</v>
      </c>
      <c r="I5" s="305" t="s">
        <v>1565</v>
      </c>
      <c r="J5" s="1200">
        <f ca="1">J6+J10+J12</f>
        <v>0</v>
      </c>
      <c r="K5" s="1546" t="s">
        <v>1566</v>
      </c>
      <c r="L5" s="1201"/>
      <c r="M5" s="1202"/>
    </row>
    <row r="6" spans="1:37" ht="18" customHeight="1">
      <c r="A6" s="1199" t="s">
        <v>1003</v>
      </c>
      <c r="B6" s="3260" t="s">
        <v>1368</v>
      </c>
      <c r="C6" s="1204">
        <f ca="1">ROUND(F6*F8*F7*(1-F9),0)</f>
        <v>184005</v>
      </c>
      <c r="D6" s="159" t="s">
        <v>2847</v>
      </c>
      <c r="E6" s="307" t="s">
        <v>1370</v>
      </c>
      <c r="F6" s="308">
        <f ca="1">INDIRECT("'数据-取费表'!u"&amp;$G$1)</f>
        <v>1.3</v>
      </c>
      <c r="G6" s="1566"/>
      <c r="H6" s="1199" t="s">
        <v>1003</v>
      </c>
      <c r="I6" s="3260" t="s">
        <v>1368</v>
      </c>
      <c r="J6" s="306">
        <f ca="1">ROUND(M6*M8*M7*(1-M9),0)</f>
        <v>0</v>
      </c>
      <c r="K6" s="1558" t="s">
        <v>2848</v>
      </c>
      <c r="L6" s="307" t="s">
        <v>1370</v>
      </c>
      <c r="M6" s="308">
        <f ca="1">INDIRECT("'数据-取费表'!z"&amp;$G$1)</f>
        <v>0</v>
      </c>
    </row>
    <row r="7" spans="1:37" ht="18" customHeight="1">
      <c r="A7" s="1203"/>
      <c r="B7" s="3261"/>
      <c r="C7" s="1205"/>
      <c r="D7" s="312"/>
      <c r="E7" s="1206" t="s">
        <v>1371</v>
      </c>
      <c r="F7" s="308">
        <f ca="1">IF(INDIRECT("'数据-取费表'!ah"&amp;$G$1)="",INDIRECT("'数据-取费表'!k"&amp;$G$1),INDIRECT("'数据-取费表'!ah"&amp;$G$1))</f>
        <v>456.22</v>
      </c>
      <c r="G7" s="1566"/>
      <c r="H7" s="309"/>
      <c r="I7" s="3261"/>
      <c r="J7" s="311"/>
      <c r="K7" s="312"/>
      <c r="L7" s="307" t="s">
        <v>1371</v>
      </c>
      <c r="M7" s="308">
        <f ca="1">F7</f>
        <v>456.22</v>
      </c>
    </row>
    <row r="8" spans="1:37" ht="18" customHeight="1">
      <c r="A8" s="309"/>
      <c r="B8" s="3261"/>
      <c r="C8" s="311"/>
      <c r="D8" s="312"/>
      <c r="E8" s="307" t="s">
        <v>1372</v>
      </c>
      <c r="F8" s="308">
        <f ca="1">INDIRECT("'数据-取费表'!ai"&amp;$G$1)</f>
        <v>365</v>
      </c>
      <c r="G8" s="1566"/>
      <c r="H8" s="309"/>
      <c r="I8" s="3261"/>
      <c r="J8" s="311"/>
      <c r="K8" s="312"/>
      <c r="L8" s="307" t="s">
        <v>1372</v>
      </c>
      <c r="M8" s="308">
        <f ca="1">INDIRECT("'数据-取费表'!ai"&amp;$G$1)</f>
        <v>365</v>
      </c>
    </row>
    <row r="9" spans="1:37" ht="18" customHeight="1">
      <c r="A9" s="309"/>
      <c r="B9" s="3262"/>
      <c r="C9" s="311"/>
      <c r="D9" s="312"/>
      <c r="E9" s="307" t="s">
        <v>1373</v>
      </c>
      <c r="F9" s="317">
        <f ca="1">INDIRECT("'数据-取费表'!w"&amp;$G$1)</f>
        <v>0.15</v>
      </c>
      <c r="G9" s="1566"/>
      <c r="H9" s="309"/>
      <c r="I9" s="3262"/>
      <c r="J9" s="311"/>
      <c r="K9" s="312"/>
      <c r="L9" s="318" t="s">
        <v>1373</v>
      </c>
      <c r="M9" s="319">
        <f ca="1">INDIRECT("'数据-取费表'!ab"&amp;$G$1)</f>
        <v>0</v>
      </c>
    </row>
    <row r="10" spans="1:37" ht="18" customHeight="1">
      <c r="A10" s="1199" t="s">
        <v>1007</v>
      </c>
      <c r="B10" s="1547" t="s">
        <v>1374</v>
      </c>
      <c r="C10" s="321">
        <f ca="1">ROUND(IF(F10="押一",C6/12*F11,IF(F10="押二",C6/12*2*F11,IF(F10="押三",C6/12*3*F11,C11*F11))),0)</f>
        <v>460</v>
      </c>
      <c r="D10" s="1548" t="s">
        <v>2857</v>
      </c>
      <c r="E10" s="318" t="s">
        <v>1375</v>
      </c>
      <c r="F10" s="1274" t="s">
        <v>3073</v>
      </c>
      <c r="G10" s="1566"/>
      <c r="H10" s="1199" t="s">
        <v>1007</v>
      </c>
      <c r="I10" s="1547" t="s">
        <v>1374</v>
      </c>
      <c r="J10" s="306">
        <f ca="1">ROUND(IF(M10="押一",J6/12*M11,IF(M10="押二",J6/12*2*M11,IF(M10="押三",J6/12*3*M11,J11*M11))),0)</f>
        <v>0</v>
      </c>
      <c r="K10" s="1559" t="s">
        <v>2859</v>
      </c>
      <c r="L10" s="318" t="s">
        <v>1375</v>
      </c>
      <c r="M10" s="1274"/>
    </row>
    <row r="11" spans="1:37" ht="18" customHeight="1">
      <c r="A11" s="313"/>
      <c r="B11" s="1549" t="s">
        <v>1567</v>
      </c>
      <c r="C11" s="1088"/>
      <c r="D11" s="312"/>
      <c r="E11" s="318" t="s">
        <v>1377</v>
      </c>
      <c r="F11" s="319">
        <f ca="1">'数据-取费表'!B39</f>
        <v>1.4999999999999999E-2</v>
      </c>
      <c r="G11" s="1566"/>
      <c r="H11" s="1207"/>
      <c r="I11" s="1549" t="s">
        <v>1568</v>
      </c>
      <c r="J11" s="1088"/>
      <c r="K11" s="691"/>
      <c r="L11" s="318"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1739896</v>
      </c>
      <c r="D13" s="1239" t="s">
        <v>1380</v>
      </c>
      <c r="E13" s="1239" t="s">
        <v>1381</v>
      </c>
      <c r="F13" s="1240">
        <f ca="1">INDIRECT("'数据-取费表'!y"&amp;$G$1)</f>
        <v>0.85</v>
      </c>
      <c r="G13" s="1566"/>
      <c r="H13" s="1237">
        <v>2</v>
      </c>
      <c r="I13" s="1238" t="s">
        <v>1379</v>
      </c>
      <c r="J13" s="1198">
        <f ca="1">ROUND(J14*J15,0)</f>
        <v>0</v>
      </c>
      <c r="K13" s="1245" t="s">
        <v>1380</v>
      </c>
      <c r="L13" s="1574"/>
      <c r="M13" s="1575"/>
    </row>
    <row r="14" spans="1:37" ht="18" customHeight="1">
      <c r="A14" s="1111" t="s">
        <v>1002</v>
      </c>
      <c r="B14" s="307" t="s">
        <v>1382</v>
      </c>
      <c r="C14" s="323">
        <f ca="1">ROUND(INDIRECT("'数据-取费表'!l"&amp;$G$1)*F43+'数据-取费表'!L14*INDIRECT("'数据-取费表'!S"&amp;$G$1),0)</f>
        <v>1368660</v>
      </c>
      <c r="D14" s="1527" t="s">
        <v>1383</v>
      </c>
      <c r="E14" s="1524"/>
      <c r="F14" s="324"/>
      <c r="G14" s="1566"/>
      <c r="H14" s="1111" t="s">
        <v>1003</v>
      </c>
      <c r="I14" s="307" t="s">
        <v>1384</v>
      </c>
      <c r="J14" s="24">
        <f ca="1">C29</f>
        <v>2046937</v>
      </c>
      <c r="K14" s="15"/>
      <c r="L14" s="914"/>
      <c r="M14" s="915"/>
    </row>
    <row r="15" spans="1:37" s="1579" customFormat="1" ht="18" customHeight="1" thickBot="1">
      <c r="A15" s="1111" t="s">
        <v>1004</v>
      </c>
      <c r="B15" s="307" t="s">
        <v>1385</v>
      </c>
      <c r="C15" s="24">
        <f ca="1">ROUND(C14*F15,0)</f>
        <v>68433</v>
      </c>
      <c r="D15" s="325" t="s">
        <v>1386</v>
      </c>
      <c r="E15" s="325" t="s">
        <v>1387</v>
      </c>
      <c r="F15" s="326">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6"/>
      <c r="H16" s="1237" t="s">
        <v>998</v>
      </c>
      <c r="I16" s="1238" t="s">
        <v>1389</v>
      </c>
      <c r="J16" s="315">
        <f ca="1">ROUND(J17+J22+J23+J24,0)</f>
        <v>31800</v>
      </c>
      <c r="K16" s="1245" t="s">
        <v>1390</v>
      </c>
      <c r="L16" s="1246"/>
      <c r="M16" s="1202"/>
    </row>
    <row r="17" spans="1:37" s="1579" customFormat="1" ht="18" customHeight="1">
      <c r="A17" s="1111" t="s">
        <v>1355</v>
      </c>
      <c r="B17" s="307" t="s">
        <v>1391</v>
      </c>
      <c r="C17" s="24">
        <f ca="1">ROUND(F17*(F43+INDIRECT("'数据-取费表'!S"&amp;$G$1)),0)</f>
        <v>91244</v>
      </c>
      <c r="D17" s="307" t="s">
        <v>1392</v>
      </c>
      <c r="E17" s="307" t="s">
        <v>1393</v>
      </c>
      <c r="F17" s="26">
        <f>'数据-取费表'!B35</f>
        <v>200</v>
      </c>
      <c r="G17" s="1578"/>
      <c r="H17" s="1111" t="s">
        <v>1003</v>
      </c>
      <c r="I17" s="307" t="s">
        <v>1394</v>
      </c>
      <c r="J17" s="2532">
        <f ca="1">ROUND(IF(AND(项目基本情况!B11="自然人",项目基本情况!B10="北京市"),J6*M17/(1+'数据-取费表'!C42),J18+J19+J20),0)</f>
        <v>1096</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7" t="s">
        <v>1397</v>
      </c>
      <c r="C18" s="24">
        <f ca="1">ROUND(C14*F18,0)</f>
        <v>20530</v>
      </c>
      <c r="D18" s="307" t="s">
        <v>1386</v>
      </c>
      <c r="E18" s="307" t="s">
        <v>1387</v>
      </c>
      <c r="F18" s="327">
        <f>'数据-取费表'!B36</f>
        <v>1.4999999999999999E-2</v>
      </c>
      <c r="G18" s="1578"/>
      <c r="H18" s="1111" t="s">
        <v>1002</v>
      </c>
      <c r="I18" s="307" t="s">
        <v>1398</v>
      </c>
      <c r="J18" s="24">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7" t="s">
        <v>1400</v>
      </c>
      <c r="C19" s="24">
        <f ca="1">SUM(C14:C18)</f>
        <v>1548867</v>
      </c>
      <c r="D19" s="135" t="s">
        <v>1401</v>
      </c>
      <c r="E19" s="1542"/>
      <c r="F19" s="26"/>
      <c r="G19" s="1566"/>
      <c r="H19" s="1111" t="s">
        <v>1004</v>
      </c>
      <c r="I19" s="307" t="s">
        <v>1402</v>
      </c>
      <c r="J19" s="24">
        <f ca="1">IF(K19="按租金收入计税",ROUND(J6*M19/(1+'数据-取费表'!C42),0),ROUND(C29*M19*0.7,0))</f>
        <v>0</v>
      </c>
      <c r="K19" s="1552" t="s">
        <v>3074</v>
      </c>
      <c r="L19" s="307" t="s">
        <v>1387</v>
      </c>
      <c r="M19" s="327">
        <f>IF(K19="按租金收入计税",'数据-取费表'!B51,'数据-取费表'!B50)</f>
        <v>0.12</v>
      </c>
    </row>
    <row r="20" spans="1:37" s="1579" customFormat="1" ht="18" customHeight="1">
      <c r="A20" s="1111" t="s">
        <v>1007</v>
      </c>
      <c r="B20" s="307" t="s">
        <v>1404</v>
      </c>
      <c r="C20" s="24">
        <f ca="1">ROUND(C19*F20,0)</f>
        <v>38722</v>
      </c>
      <c r="D20" s="328" t="s">
        <v>1405</v>
      </c>
      <c r="E20" s="307" t="s">
        <v>1387</v>
      </c>
      <c r="F20" s="327">
        <f>'数据-取费表'!B37</f>
        <v>2.5000000000000001E-2</v>
      </c>
      <c r="G20" s="1578"/>
      <c r="H20" s="1111" t="s">
        <v>1354</v>
      </c>
      <c r="I20" s="159" t="s">
        <v>1406</v>
      </c>
      <c r="J20" s="25">
        <f ca="1">ROUND(M20*M21,0)</f>
        <v>1096</v>
      </c>
      <c r="K20" s="329" t="s">
        <v>1407</v>
      </c>
      <c r="L20" s="307" t="s">
        <v>1408</v>
      </c>
      <c r="M20" s="330">
        <f>'数据-取费表'!B52</f>
        <v>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7" t="s">
        <v>1409</v>
      </c>
      <c r="C21" s="24" t="s">
        <v>1</v>
      </c>
      <c r="D21" s="328" t="s">
        <v>1410</v>
      </c>
      <c r="E21" s="307" t="s">
        <v>1411</v>
      </c>
      <c r="F21" s="327">
        <f>'数据-取费表'!B38</f>
        <v>2.5000000000000001E-2</v>
      </c>
      <c r="G21" s="1578"/>
      <c r="H21" s="331"/>
      <c r="I21" s="316"/>
      <c r="J21" s="29"/>
      <c r="K21" s="332"/>
      <c r="L21" s="307" t="s">
        <v>1412</v>
      </c>
      <c r="M21" s="308">
        <f ca="1">INDIRECT("'数据-取费表'!r"&amp;$G$1)</f>
        <v>274.02999999999997</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2"/>
      <c r="F22" s="26"/>
      <c r="G22" s="1566"/>
      <c r="H22" s="1111" t="s">
        <v>1007</v>
      </c>
      <c r="I22" s="307" t="s">
        <v>1414</v>
      </c>
      <c r="J22" s="24">
        <f ca="1">ROUND(J14*M22,0)</f>
        <v>30704</v>
      </c>
      <c r="K22" s="1526" t="s">
        <v>1415</v>
      </c>
      <c r="L22" s="307" t="s">
        <v>1387</v>
      </c>
      <c r="M22" s="333">
        <f ca="1">INDIRECT("'数据-取费表'!Ak"&amp;$G$1)</f>
        <v>1.4999999999999999E-2</v>
      </c>
    </row>
    <row r="23" spans="1:37" s="1579" customFormat="1" ht="18" customHeight="1">
      <c r="A23" s="1111" t="s">
        <v>1002</v>
      </c>
      <c r="B23" s="307" t="s">
        <v>1416</v>
      </c>
      <c r="C23" s="24">
        <f ca="1">IF('数据-取费表'!B22&lt;=1,ROUND(C19*F24*F23/2,0)+ROUND(C20*F24*F23/2,0),ROUND(C19*(POWER((1+F24),F23/2)-1),0)+ROUND(C20*(POWER((1+F24),F23/2)-1),0))</f>
        <v>51519</v>
      </c>
      <c r="D23" s="334" t="str">
        <f>IF(F23&lt;=1,"(建造成本+管理费用)×利率×(建设周期÷2)","(建造成本+管理费用)×((1+利率)^(建设周期÷2)-1)")</f>
        <v>(建造成本+管理费用)×((1+利率)^(建设周期÷2)-1)</v>
      </c>
      <c r="E23" s="307" t="s">
        <v>1417</v>
      </c>
      <c r="F23" s="330">
        <f>'数据-取费表'!B20</f>
        <v>1.5</v>
      </c>
      <c r="G23" s="1578"/>
      <c r="H23" s="1111" t="s">
        <v>1043</v>
      </c>
      <c r="I23" s="307" t="s">
        <v>1418</v>
      </c>
      <c r="J23" s="24">
        <f ca="1">ROUND(J13*M23,0)</f>
        <v>0</v>
      </c>
      <c r="K23" s="1526" t="s">
        <v>1419</v>
      </c>
      <c r="L23" s="307" t="s">
        <v>1420</v>
      </c>
      <c r="M23" s="335">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7" t="s">
        <v>1422</v>
      </c>
      <c r="C24" s="24">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ROUND(J5*M24,0)</f>
        <v>0</v>
      </c>
      <c r="K24" s="1250" t="s">
        <v>1424</v>
      </c>
      <c r="L24" s="1248" t="s">
        <v>1420</v>
      </c>
      <c r="M24" s="1244">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7" t="s">
        <v>1426</v>
      </c>
      <c r="C25" s="24"/>
      <c r="D25" s="135" t="s">
        <v>1427</v>
      </c>
      <c r="E25" s="1542"/>
      <c r="F25" s="26"/>
      <c r="G25" s="1566"/>
      <c r="H25" s="1237" t="s">
        <v>999</v>
      </c>
      <c r="I25" s="1252" t="s">
        <v>1428</v>
      </c>
      <c r="J25" s="315">
        <f ca="1">J5-J16</f>
        <v>-31800</v>
      </c>
      <c r="K25" s="1253" t="s">
        <v>1429</v>
      </c>
      <c r="L25" s="1254"/>
      <c r="M25" s="1255"/>
    </row>
    <row r="26" spans="1:37" ht="18" customHeight="1">
      <c r="A26" s="1111" t="s">
        <v>1002</v>
      </c>
      <c r="B26" s="307" t="s">
        <v>1430</v>
      </c>
      <c r="C26" s="24">
        <f ca="1">ROUND((C19+C20)*F26,0)</f>
        <v>238138</v>
      </c>
      <c r="D26" s="328" t="s">
        <v>1431</v>
      </c>
      <c r="E26" s="318" t="s">
        <v>1432</v>
      </c>
      <c r="F26" s="317">
        <f ca="1">INDIRECT("'数据-取费表'!q"&amp;$G$1)</f>
        <v>0.15</v>
      </c>
      <c r="G26" s="1566"/>
      <c r="H26" s="304" t="s">
        <v>1000</v>
      </c>
      <c r="I26" s="305" t="s">
        <v>1433</v>
      </c>
      <c r="J26" s="306">
        <f ca="1">IF(J5&lt;&gt;0,ROUND(J25*(1-((1+M28)/(1+M26))^M27)/(M26-M28),0),0)</f>
        <v>0</v>
      </c>
      <c r="K26" s="329" t="s">
        <v>1434</v>
      </c>
      <c r="L26" s="307" t="s">
        <v>1435</v>
      </c>
      <c r="M26" s="317">
        <f ca="1">INDIRECT("'数据-取费表'!I"&amp;$G$1)</f>
        <v>5.5E-2</v>
      </c>
    </row>
    <row r="27" spans="1:37" ht="18" customHeight="1">
      <c r="A27" s="1111" t="s">
        <v>1004</v>
      </c>
      <c r="B27" s="307" t="s">
        <v>1436</v>
      </c>
      <c r="C27" s="24">
        <f ca="1">ROUND(F21*F26,4)</f>
        <v>3.8E-3</v>
      </c>
      <c r="D27" s="328" t="s">
        <v>1437</v>
      </c>
      <c r="E27" s="325"/>
      <c r="F27" s="326"/>
      <c r="G27" s="1566"/>
      <c r="H27" s="309"/>
      <c r="I27" s="310"/>
      <c r="J27" s="311"/>
      <c r="K27" s="337" t="s">
        <v>1438</v>
      </c>
      <c r="L27" s="307" t="s">
        <v>1439</v>
      </c>
      <c r="M27" s="338">
        <f ca="1">INDIRECT("'数据-取费表'!ag"&amp;$G$1)</f>
        <v>0</v>
      </c>
    </row>
    <row r="28" spans="1:37" s="1579" customFormat="1" ht="18" customHeight="1">
      <c r="A28" s="1111"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2046937</v>
      </c>
      <c r="D29" s="1250"/>
      <c r="E29" s="1248"/>
      <c r="F29" s="1251"/>
      <c r="G29" s="1578"/>
      <c r="H29" s="339" t="s">
        <v>1001</v>
      </c>
      <c r="I29" s="340" t="s">
        <v>1444</v>
      </c>
      <c r="J29" s="341">
        <f ca="1">ROUND(J26/(1+F40)^F41,0)</f>
        <v>0</v>
      </c>
      <c r="K29" s="342" t="s">
        <v>1445</v>
      </c>
      <c r="L29" s="343"/>
      <c r="M29" s="344">
        <f ca="1">INDIRECT("'数据-取费表'!k"&amp;$G$1)</f>
        <v>456.22</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69812</v>
      </c>
      <c r="D30" s="1245" t="s">
        <v>1390</v>
      </c>
      <c r="E30" s="1246"/>
      <c r="F30" s="1202"/>
      <c r="G30" s="1566"/>
      <c r="H30" s="2924"/>
      <c r="I30" s="1580"/>
      <c r="J30" s="1581"/>
      <c r="K30" s="2699"/>
      <c r="L30" s="2925"/>
      <c r="M30" s="2926"/>
    </row>
    <row r="31" spans="1:37" ht="18" customHeight="1">
      <c r="A31" s="1111" t="s">
        <v>1003</v>
      </c>
      <c r="B31" s="307" t="s">
        <v>1394</v>
      </c>
      <c r="C31" s="2532">
        <f ca="1">ROUND(IF(AND(项目基本情况!B11="自然人",项目基本情况!B10="北京市"),C6*F31/(1+'数据-取费表'!C42),C32+C33+C34),0)</f>
        <v>31939</v>
      </c>
      <c r="D31" s="1527" t="s">
        <v>1395</v>
      </c>
      <c r="E31" s="1526" t="s">
        <v>1446</v>
      </c>
      <c r="F31" s="2531" t="str">
        <f>IF(项目基本情况!B11="企业","——",IF('数据-取费表'!B10="住宅",IF(F6*F7*F8/12/(1+'数据-取费表'!F30)&gt;100000,4%,2.5%),IF(F6*F7*F8/12/(1+'数据-取费表'!F30)&gt;100000,12%,7%)))</f>
        <v>——</v>
      </c>
      <c r="G31" s="1566"/>
      <c r="H31" s="3037" t="s">
        <v>3048</v>
      </c>
      <c r="I31" s="1580"/>
      <c r="J31" s="1581"/>
      <c r="K31" s="2699"/>
      <c r="L31" s="2925"/>
      <c r="M31" s="2926"/>
    </row>
    <row r="32" spans="1:37" ht="18" customHeight="1">
      <c r="A32" s="1111" t="s">
        <v>1002</v>
      </c>
      <c r="B32" s="307" t="s">
        <v>1398</v>
      </c>
      <c r="C32" s="24">
        <f ca="1">IF(项目基本情况!B11="自然人","——",ROUND(C6*F32/(1+'数据-取费表'!C42),0))</f>
        <v>9814</v>
      </c>
      <c r="D32" s="1526" t="s">
        <v>1399</v>
      </c>
      <c r="E32" s="307" t="s">
        <v>1387</v>
      </c>
      <c r="F32" s="336">
        <f>'数据-取费表'!B41</f>
        <v>5.6000000000000001E-2</v>
      </c>
      <c r="G32" s="1566"/>
      <c r="H32" s="2924"/>
      <c r="I32" s="1580"/>
      <c r="J32" s="1581"/>
      <c r="K32" s="2699"/>
      <c r="L32" s="2925"/>
      <c r="M32" s="2926"/>
    </row>
    <row r="33" spans="1:18" ht="18" customHeight="1">
      <c r="A33" s="1111" t="s">
        <v>1004</v>
      </c>
      <c r="B33" s="307" t="s">
        <v>1402</v>
      </c>
      <c r="C33" s="24">
        <f ca="1">IF(项目基本情况!B11="自然人","——",IF(D33="按租金收入计税",ROUND(C6*F33/(1+'数据-取费表'!C42),0),IF(D33="按房产原值计税",ROUND(C29*F33*0.7,0),INDIRECT("'数据-取费表'!Aj"&amp;$G$1))))</f>
        <v>21029</v>
      </c>
      <c r="D33" s="1552" t="s">
        <v>3074</v>
      </c>
      <c r="E33" s="307" t="s">
        <v>1387</v>
      </c>
      <c r="F33" s="327">
        <f>IF(D33="按票据","——",IF(D33="按租金收入计税",'数据-取费表'!B51,'数据-取费表'!B50))</f>
        <v>0.12</v>
      </c>
      <c r="G33" s="1566"/>
      <c r="H33" s="2927"/>
      <c r="I33" s="1580"/>
      <c r="J33" s="1581"/>
      <c r="K33" s="2928"/>
      <c r="L33" s="2927"/>
      <c r="M33" s="2927"/>
    </row>
    <row r="34" spans="1:18" ht="18" customHeight="1">
      <c r="A34" s="1199" t="s">
        <v>1354</v>
      </c>
      <c r="B34" s="159" t="s">
        <v>1406</v>
      </c>
      <c r="C34" s="25">
        <f ca="1">IF(项目基本情况!B11="自然人","——",ROUND(F34*F35,))</f>
        <v>1096</v>
      </c>
      <c r="D34" s="329" t="s">
        <v>1407</v>
      </c>
      <c r="E34" s="307" t="s">
        <v>1408</v>
      </c>
      <c r="F34" s="330">
        <f>'数据-取费表'!B52</f>
        <v>4</v>
      </c>
      <c r="G34" s="1566"/>
      <c r="H34" s="2924"/>
      <c r="I34" s="1580"/>
      <c r="J34" s="1581"/>
      <c r="K34" s="2929"/>
      <c r="L34" s="2930"/>
      <c r="M34" s="2930"/>
    </row>
    <row r="35" spans="1:18" ht="18" customHeight="1">
      <c r="A35" s="1261"/>
      <c r="B35" s="1259"/>
      <c r="C35" s="29"/>
      <c r="D35" s="332"/>
      <c r="E35" s="307" t="s">
        <v>1412</v>
      </c>
      <c r="F35" s="308">
        <f ca="1">INDIRECT("'数据-取费表'!r"&amp;$G$1)</f>
        <v>274.02999999999997</v>
      </c>
      <c r="G35" s="1566"/>
      <c r="H35" s="2924"/>
      <c r="I35" s="1580"/>
      <c r="J35" s="1581"/>
      <c r="K35" s="2928"/>
      <c r="L35" s="2927"/>
      <c r="M35" s="2927"/>
    </row>
    <row r="36" spans="1:18" ht="18" customHeight="1">
      <c r="A36" s="1260" t="s">
        <v>1007</v>
      </c>
      <c r="B36" s="307" t="s">
        <v>1414</v>
      </c>
      <c r="C36" s="24">
        <f ca="1">ROUND(C29*F36,0)</f>
        <v>30704</v>
      </c>
      <c r="D36" s="1526" t="s">
        <v>1447</v>
      </c>
      <c r="E36" s="307" t="s">
        <v>1387</v>
      </c>
      <c r="F36" s="333">
        <f ca="1">INDIRECT("'数据-取费表'!Ak"&amp;$G$1)</f>
        <v>1.4999999999999999E-2</v>
      </c>
      <c r="G36" s="1566"/>
      <c r="H36" s="2927"/>
      <c r="I36" s="1580"/>
      <c r="J36" s="1581"/>
      <c r="K36" s="2768"/>
      <c r="L36" s="2927"/>
      <c r="M36" s="2927"/>
    </row>
    <row r="37" spans="1:18" ht="18" customHeight="1">
      <c r="A37" s="1111" t="s">
        <v>1043</v>
      </c>
      <c r="B37" s="307" t="s">
        <v>1418</v>
      </c>
      <c r="C37" s="24">
        <f ca="1">ROUND(C13*F37,0)</f>
        <v>3480</v>
      </c>
      <c r="D37" s="1526" t="s">
        <v>1419</v>
      </c>
      <c r="E37" s="307" t="s">
        <v>1420</v>
      </c>
      <c r="F37" s="335">
        <f ca="1">INDIRECT("'数据-取费表'!Al"&amp;$G$1)</f>
        <v>2E-3</v>
      </c>
      <c r="G37" s="1566"/>
      <c r="H37" s="2927"/>
      <c r="I37" s="1580"/>
      <c r="J37" s="1581"/>
      <c r="K37" s="2768"/>
      <c r="L37" s="2927"/>
      <c r="M37" s="2927"/>
    </row>
    <row r="38" spans="1:18" ht="18" customHeight="1" thickBot="1">
      <c r="A38" s="1247" t="s">
        <v>1358</v>
      </c>
      <c r="B38" s="1248" t="s">
        <v>1404</v>
      </c>
      <c r="C38" s="1249">
        <f ca="1">ROUND(C5*F38,1)</f>
        <v>3689.3</v>
      </c>
      <c r="D38" s="1250" t="s">
        <v>1424</v>
      </c>
      <c r="E38" s="1248" t="s">
        <v>1420</v>
      </c>
      <c r="F38" s="1244">
        <f ca="1">INDIRECT("'数据-取费表'!Am"&amp;$G$1)</f>
        <v>0.02</v>
      </c>
      <c r="G38" s="1566"/>
      <c r="H38" s="2927"/>
      <c r="I38" s="1580"/>
      <c r="J38" s="1581"/>
      <c r="K38" s="2931"/>
      <c r="L38" s="2927"/>
      <c r="M38" s="2927"/>
    </row>
    <row r="39" spans="1:18" ht="24.6" customHeight="1" thickTop="1">
      <c r="A39" s="1237" t="s">
        <v>999</v>
      </c>
      <c r="B39" s="1252" t="s">
        <v>1448</v>
      </c>
      <c r="C39" s="315">
        <f ca="1">C5-C30</f>
        <v>114653</v>
      </c>
      <c r="D39" s="1253" t="s">
        <v>1449</v>
      </c>
      <c r="E39" s="1254"/>
      <c r="F39" s="1255"/>
      <c r="G39" s="1566"/>
      <c r="H39" s="2927"/>
      <c r="I39" s="1580"/>
      <c r="J39" s="1581"/>
      <c r="K39" s="2931"/>
      <c r="L39" s="2927"/>
      <c r="M39" s="2927"/>
    </row>
    <row r="40" spans="1:18" ht="18" customHeight="1">
      <c r="A40" s="304" t="s">
        <v>1000</v>
      </c>
      <c r="B40" s="305" t="s">
        <v>1450</v>
      </c>
      <c r="C40" s="306">
        <f ca="1">ROUND(C39*(1-((1+F42)/(1+F40))^F41)/(F40-F42),0)</f>
        <v>2263111</v>
      </c>
      <c r="D40" s="329" t="s">
        <v>1434</v>
      </c>
      <c r="E40" s="307" t="s">
        <v>1435</v>
      </c>
      <c r="F40" s="317">
        <f ca="1">INDIRECT("'数据-取费表'!I"&amp;$G$1)</f>
        <v>5.5E-2</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31.09</v>
      </c>
      <c r="G41" s="1566"/>
      <c r="H41" s="1351"/>
      <c r="I41" s="1580"/>
      <c r="J41" s="1581"/>
      <c r="K41" s="2768"/>
      <c r="L41" s="1351"/>
      <c r="M41" s="1351"/>
    </row>
    <row r="42" spans="1:18" ht="18" customHeight="1">
      <c r="A42" s="313"/>
      <c r="B42" s="314"/>
      <c r="C42" s="315"/>
      <c r="D42" s="332"/>
      <c r="E42" s="307" t="s">
        <v>1442</v>
      </c>
      <c r="F42" s="317">
        <f ca="1">INDIRECT("'数据-取费表'!v"&amp;$G$1)</f>
        <v>2.5000000000000001E-2</v>
      </c>
      <c r="G42" s="1566"/>
      <c r="H42" s="1351"/>
      <c r="I42" s="1580"/>
      <c r="J42" s="1581"/>
      <c r="K42" s="2768"/>
      <c r="L42" s="1351"/>
      <c r="M42" s="1351"/>
    </row>
    <row r="43" spans="1:18" ht="18" customHeight="1" thickBot="1">
      <c r="A43" s="339" t="s">
        <v>1001</v>
      </c>
      <c r="B43" s="340" t="s">
        <v>1452</v>
      </c>
      <c r="C43" s="341">
        <f ca="1">ROUND(C40/F43,0)</f>
        <v>4961</v>
      </c>
      <c r="D43" s="342" t="s">
        <v>1453</v>
      </c>
      <c r="E43" s="343" t="s">
        <v>1454</v>
      </c>
      <c r="F43" s="344">
        <f ca="1">INDIRECT("'数据-取费表'!k"&amp;$G$1)</f>
        <v>456.22</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f ca="1">C68-C40</f>
        <v>-6353441</v>
      </c>
      <c r="D45" s="1655" t="s">
        <v>1569</v>
      </c>
      <c r="E45" s="1582"/>
      <c r="F45" s="1582"/>
      <c r="O45" s="1585" t="s">
        <v>1484</v>
      </c>
      <c r="P45" s="1643"/>
      <c r="Q45" s="1643"/>
      <c r="R45" s="1643"/>
    </row>
    <row r="46" spans="1:18" s="1566" customFormat="1" ht="13.5" thickBot="1">
      <c r="A46" s="1586" t="s">
        <v>1485</v>
      </c>
      <c r="C46" s="1587">
        <f ca="1">ROUND(C45/10000,0)</f>
        <v>-635</v>
      </c>
      <c r="D46" s="1588" t="str">
        <f>C2</f>
        <v>万元</v>
      </c>
      <c r="I46" s="1589" t="s">
        <v>1486</v>
      </c>
      <c r="J46" s="1590"/>
      <c r="K46" s="1591"/>
      <c r="L46" s="1592">
        <f ca="1">IF(M47="住宅",0,IF(L48&gt;J51,L60,J60))</f>
        <v>56179</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t="s">
        <v>3075</v>
      </c>
      <c r="K47" s="1598" t="s">
        <v>1492</v>
      </c>
      <c r="L47" s="1599">
        <f ca="1">INDIRECT("'数据-取费表'!d"&amp;$G$1)</f>
        <v>40</v>
      </c>
      <c r="M47" s="1562" t="str">
        <f>IF(ISNUMBER(FIND("住宅",C1)),"住宅","非住宅")</f>
        <v>非住宅</v>
      </c>
      <c r="O47" s="1600" t="s">
        <v>1008</v>
      </c>
      <c r="P47" s="1601" t="s">
        <v>1493</v>
      </c>
      <c r="Q47" s="1602">
        <f ca="1">C40+J29</f>
        <v>2263111</v>
      </c>
      <c r="R47" s="1602" t="s">
        <v>1494</v>
      </c>
    </row>
    <row r="48" spans="1:18" s="1566" customFormat="1" ht="28.5" thickBot="1">
      <c r="A48" s="1268" t="s">
        <v>1103</v>
      </c>
      <c r="B48" s="305" t="s">
        <v>1366</v>
      </c>
      <c r="C48" s="1541">
        <f ca="1">C49+C53+C55</f>
        <v>0</v>
      </c>
      <c r="D48" s="1270"/>
      <c r="E48" s="1271"/>
      <c r="F48" s="1091"/>
      <c r="G48" s="729"/>
      <c r="H48" s="730"/>
      <c r="I48" s="1603" t="s">
        <v>1495</v>
      </c>
      <c r="J48" s="1604" t="s">
        <v>3076</v>
      </c>
      <c r="K48" s="1605" t="s">
        <v>1496</v>
      </c>
      <c r="L48" s="1606">
        <f ca="1">INDIRECT("'数据-取费表'!f"&amp;$G$1)</f>
        <v>31.09</v>
      </c>
      <c r="O48" s="1600" t="s">
        <v>1009</v>
      </c>
      <c r="P48" s="1601" t="s">
        <v>1497</v>
      </c>
      <c r="Q48" s="1602">
        <f ca="1">J60</f>
        <v>56179</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v>2014</v>
      </c>
      <c r="K49" s="1605" t="s">
        <v>1500</v>
      </c>
      <c r="L49" s="1609"/>
      <c r="O49" s="1610" t="s">
        <v>1010</v>
      </c>
      <c r="P49" s="1601" t="s">
        <v>1501</v>
      </c>
      <c r="Q49" s="1602">
        <f ca="1">C29</f>
        <v>2046937</v>
      </c>
      <c r="R49" s="1602" t="s">
        <v>1494</v>
      </c>
    </row>
    <row r="50" spans="1:18" s="1566" customFormat="1" ht="13.5" thickBot="1">
      <c r="A50" s="1105"/>
      <c r="B50" s="1108"/>
      <c r="C50" s="1109"/>
      <c r="D50" s="1082"/>
      <c r="E50" s="1185" t="s">
        <v>1371</v>
      </c>
      <c r="F50" s="1186">
        <f ca="1">F7</f>
        <v>456.22</v>
      </c>
      <c r="H50" s="730"/>
      <c r="I50" s="1603" t="s">
        <v>1502</v>
      </c>
      <c r="J50" s="1611">
        <f>SUMPRODUCT((I63:I65=J47)*(J62:L62=J48)*(J63:L65))</f>
        <v>60</v>
      </c>
      <c r="K50" s="1605" t="s">
        <v>1503</v>
      </c>
      <c r="L50" s="1609"/>
      <c r="M50" s="1612"/>
      <c r="O50" s="1610" t="s">
        <v>1011</v>
      </c>
      <c r="P50" s="1601" t="s">
        <v>1504</v>
      </c>
      <c r="Q50" s="1613">
        <f ca="1">J58</f>
        <v>0.4</v>
      </c>
      <c r="R50" s="1602"/>
    </row>
    <row r="51" spans="1:18" s="1566" customFormat="1" ht="13.5" thickBot="1">
      <c r="A51" s="1106"/>
      <c r="B51" s="1108"/>
      <c r="C51" s="1109"/>
      <c r="D51" s="1082"/>
      <c r="E51" s="1110" t="s">
        <v>1372</v>
      </c>
      <c r="F51" s="308">
        <f ca="1">F8</f>
        <v>365</v>
      </c>
      <c r="I51" s="1614" t="s">
        <v>1505</v>
      </c>
      <c r="J51" s="1615">
        <f>IF(J49="",J50,J49+J50-YEAR('数据-取费表'!B2))</f>
        <v>53</v>
      </c>
      <c r="K51" s="1616" t="s">
        <v>1506</v>
      </c>
      <c r="L51" s="1617">
        <f ca="1">ROUND(-PV(INDIRECT("'数据-取费表'!h"&amp;$G$1),J51,(C39-C13*C76),0),0)</f>
        <v>-614687</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31.09</v>
      </c>
      <c r="R52" s="1602" t="s">
        <v>1511</v>
      </c>
    </row>
    <row r="53" spans="1:18" s="1566" customFormat="1" ht="30.75" customHeight="1" thickBot="1">
      <c r="A53" s="1269" t="s">
        <v>1105</v>
      </c>
      <c r="B53" s="328" t="s">
        <v>1374</v>
      </c>
      <c r="C53" s="321">
        <f ca="1">ROUND(IF(F53="押一",C49/12*F11,IF(F53="押二",C49/12*2*F11,IF(F53="押三",C49/12*3*F11,C54*F11))),0)</f>
        <v>0</v>
      </c>
      <c r="D53" s="1548" t="s">
        <v>2860</v>
      </c>
      <c r="E53" s="318" t="s">
        <v>1375</v>
      </c>
      <c r="F53" s="1274"/>
      <c r="I53" s="1621" t="s">
        <v>1512</v>
      </c>
      <c r="J53" s="2384">
        <f ca="1">IF(M47="住宅",IF(D1="——",MAX(J51,L48),MAX(J51,L48-'数据-取费表'!B24)),IF(D1="——",MIN(J51,L48),MIN(J51,L48-'数据-取费表'!B24)))</f>
        <v>31.09</v>
      </c>
      <c r="K53" s="3258" t="s">
        <v>1513</v>
      </c>
      <c r="L53" s="3259"/>
      <c r="O53" s="1600" t="s">
        <v>1014</v>
      </c>
      <c r="P53" s="1601" t="s">
        <v>1514</v>
      </c>
      <c r="Q53" s="1602">
        <f ca="1">Q47+Q48</f>
        <v>2319290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f ca="1">ROUND(IF(J47="钢混",J57/J50,1-(1-2%)*(J50-J57)/J50),3)</f>
        <v>0.36499999999999999</v>
      </c>
      <c r="K55" s="1627" t="s">
        <v>1517</v>
      </c>
      <c r="L55" s="1628"/>
      <c r="O55" s="1593" t="s">
        <v>1487</v>
      </c>
      <c r="P55" s="1594" t="s">
        <v>1488</v>
      </c>
      <c r="Q55" s="1595" t="s">
        <v>1489</v>
      </c>
      <c r="R55" s="1595" t="s">
        <v>1490</v>
      </c>
    </row>
    <row r="56" spans="1:18" s="1566" customFormat="1" ht="36" customHeight="1" thickTop="1" thickBot="1">
      <c r="A56" s="1086">
        <v>2</v>
      </c>
      <c r="B56" s="1087" t="s">
        <v>1379</v>
      </c>
      <c r="C56" s="237">
        <f ca="1">C13</f>
        <v>1739896</v>
      </c>
      <c r="D56" s="1629"/>
      <c r="E56" s="1630"/>
      <c r="F56" s="1622"/>
      <c r="I56" s="1631" t="s">
        <v>1519</v>
      </c>
      <c r="J56" s="1632"/>
      <c r="K56" s="1603" t="s">
        <v>1520</v>
      </c>
      <c r="L56" s="1606" t="str">
        <f ca="1">IF(L48&lt;J51,"——",L48-J51)</f>
        <v>——</v>
      </c>
      <c r="O56" s="1600" t="s">
        <v>1008</v>
      </c>
      <c r="P56" s="1601" t="s">
        <v>1493</v>
      </c>
      <c r="Q56" s="1602">
        <f ca="1">C40+J29</f>
        <v>2263111</v>
      </c>
      <c r="R56" s="1602" t="s">
        <v>1494</v>
      </c>
    </row>
    <row r="57" spans="1:18" s="1566" customFormat="1" ht="24.75" thickBot="1">
      <c r="A57" s="1633"/>
      <c r="B57" s="1079" t="s">
        <v>1443</v>
      </c>
      <c r="C57" s="243">
        <f ca="1">C29</f>
        <v>2046937</v>
      </c>
      <c r="D57" s="1634"/>
      <c r="E57" s="1635"/>
      <c r="F57" s="1636"/>
      <c r="I57" s="1637" t="s">
        <v>1521</v>
      </c>
      <c r="J57" s="1638">
        <f ca="1">IF(OR(M47="住宅",J51&lt;L48,J56="是"),"——",J51-L48)</f>
        <v>21.91</v>
      </c>
      <c r="K57" s="1603" t="s">
        <v>1570</v>
      </c>
      <c r="L57" s="1606" t="str">
        <f ca="1">IF(L48&lt;J51,"——",IF(L55="比较法",L49,IF(L55="基准地价",L50,L51)))</f>
        <v>——</v>
      </c>
      <c r="O57" s="1600" t="s">
        <v>1009</v>
      </c>
      <c r="P57" s="1601" t="s">
        <v>1571</v>
      </c>
      <c r="Q57" s="1602">
        <f ca="1">L60</f>
        <v>0</v>
      </c>
      <c r="R57" s="1602" t="s">
        <v>1572</v>
      </c>
    </row>
    <row r="58" spans="1:18" s="1566" customFormat="1" ht="24.75" thickBot="1">
      <c r="A58" s="320" t="s">
        <v>998</v>
      </c>
      <c r="B58" s="1087" t="s">
        <v>1389</v>
      </c>
      <c r="C58" s="321">
        <f ca="1">ROUND(C59+C64+C65+C66,0)</f>
        <v>207223</v>
      </c>
      <c r="D58" s="1089" t="s">
        <v>1390</v>
      </c>
      <c r="E58" s="1090"/>
      <c r="F58" s="1091"/>
      <c r="I58" s="1637" t="s">
        <v>1525</v>
      </c>
      <c r="J58" s="1639">
        <f ca="1">IF(J55&lt;0.4,0.4,J55)</f>
        <v>0.4</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173039</v>
      </c>
      <c r="D59" s="1092" t="s">
        <v>1395</v>
      </c>
      <c r="E59" s="1093" t="s">
        <v>1396</v>
      </c>
      <c r="F59" s="2531" t="str">
        <f>IF(项目基本情况!B11="企业","——",IF('数据-取费表'!B10="住宅",IF(F49*F50*F51/12/(1+'数据-取费表'!F30)&gt;100000,4%,2.5%),IF(F49*F50*F51/12/(1+'数据-取费表'!F30)&gt;100000,12%,7%)))</f>
        <v>——</v>
      </c>
      <c r="I59" s="1637" t="s">
        <v>1528</v>
      </c>
      <c r="J59" s="1638">
        <f ca="1">IF(OR(M47="住宅",J51&lt;L48,J56="是"),"——",ROUND(C29*J58,0))</f>
        <v>818775</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40" t="s">
        <v>1530</v>
      </c>
      <c r="J60" s="1641">
        <f ca="1">IF(OR(M47="住宅",J51&lt;L48,J56="是"),"0",ROUND(J59/(1+J52)^J53,0))</f>
        <v>56179</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171943</v>
      </c>
      <c r="D61" s="1552" t="s">
        <v>1403</v>
      </c>
      <c r="E61" s="1079"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IF(项目基本情况!B11="自然人","——",ROUND(F62*F63,0))</f>
        <v>1096</v>
      </c>
      <c r="D62" s="1094" t="s">
        <v>1462</v>
      </c>
      <c r="E62" s="1079" t="s">
        <v>1463</v>
      </c>
      <c r="F62" s="330">
        <f t="shared" si="0"/>
        <v>4</v>
      </c>
      <c r="I62" s="1644" t="s">
        <v>1535</v>
      </c>
      <c r="J62" s="1645" t="s">
        <v>1536</v>
      </c>
      <c r="K62" s="1645" t="s">
        <v>1537</v>
      </c>
      <c r="L62" s="1645" t="s">
        <v>1538</v>
      </c>
      <c r="M62" s="1646" t="s">
        <v>1539</v>
      </c>
      <c r="O62" s="1600" t="s">
        <v>1014</v>
      </c>
      <c r="P62" s="1601" t="s">
        <v>1540</v>
      </c>
      <c r="Q62" s="1602">
        <f ca="1">Q56+Q57</f>
        <v>2263111</v>
      </c>
      <c r="R62" s="1602" t="s">
        <v>1015</v>
      </c>
    </row>
    <row r="63" spans="1:18" s="1566" customFormat="1" ht="13.5" thickBot="1">
      <c r="A63" s="331"/>
      <c r="B63" s="1085"/>
      <c r="C63" s="29"/>
      <c r="D63" s="1095"/>
      <c r="E63" s="1079" t="s">
        <v>1464</v>
      </c>
      <c r="F63" s="308">
        <f t="shared" ca="1" si="0"/>
        <v>274.02999999999997</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30704</v>
      </c>
      <c r="D64" s="1093" t="s">
        <v>1467</v>
      </c>
      <c r="E64" s="1079" t="s">
        <v>1459</v>
      </c>
      <c r="F64" s="333">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3480</v>
      </c>
      <c r="D65" s="1093" t="s">
        <v>1419</v>
      </c>
      <c r="E65" s="1079" t="s">
        <v>1420</v>
      </c>
      <c r="F65" s="335">
        <f t="shared" ca="1" si="0"/>
        <v>2E-3</v>
      </c>
      <c r="I65" s="1644" t="s">
        <v>1544</v>
      </c>
      <c r="J65" s="1645">
        <v>40</v>
      </c>
      <c r="K65" s="1645">
        <v>30</v>
      </c>
      <c r="L65" s="1645">
        <v>50</v>
      </c>
      <c r="M65" s="1647">
        <v>0.02</v>
      </c>
      <c r="O65" s="1600" t="s">
        <v>1008</v>
      </c>
      <c r="P65" s="1601" t="s">
        <v>1545</v>
      </c>
      <c r="Q65" s="1602">
        <f ca="1">C40+J29</f>
        <v>2263111</v>
      </c>
      <c r="R65" s="1602" t="s">
        <v>1494</v>
      </c>
    </row>
    <row r="66" spans="1:18" s="1566" customFormat="1" ht="16.5" thickBot="1">
      <c r="A66" s="1111" t="s">
        <v>1469</v>
      </c>
      <c r="B66" s="1079" t="s">
        <v>1404</v>
      </c>
      <c r="C66" s="24">
        <f ca="1">ROUND(C48*F66,0)</f>
        <v>0</v>
      </c>
      <c r="D66" s="1093" t="s">
        <v>1470</v>
      </c>
      <c r="E66" s="1079" t="s">
        <v>1387</v>
      </c>
      <c r="F66" s="317">
        <f t="shared" ca="1" si="0"/>
        <v>0.02</v>
      </c>
      <c r="O66" s="1600" t="s">
        <v>1009</v>
      </c>
      <c r="P66" s="1601" t="s">
        <v>1523</v>
      </c>
      <c r="Q66" s="1602">
        <f ca="1">L60</f>
        <v>0</v>
      </c>
      <c r="R66" s="1602" t="s">
        <v>1546</v>
      </c>
    </row>
    <row r="67" spans="1:18" s="1566" customFormat="1" ht="16.5" thickBot="1">
      <c r="A67" s="1086" t="s">
        <v>999</v>
      </c>
      <c r="B67" s="1096" t="s">
        <v>1428</v>
      </c>
      <c r="C67" s="321">
        <f ca="1">C48-C58</f>
        <v>-207223</v>
      </c>
      <c r="D67" s="1092" t="s">
        <v>1429</v>
      </c>
      <c r="E67" s="1097"/>
      <c r="F67" s="1098"/>
      <c r="O67" s="1610" t="s">
        <v>1010</v>
      </c>
      <c r="P67" s="1601" t="s">
        <v>1527</v>
      </c>
      <c r="Q67" s="1648">
        <f ca="1">L51</f>
        <v>-614687</v>
      </c>
      <c r="R67" s="1602" t="s">
        <v>1547</v>
      </c>
    </row>
    <row r="68" spans="1:18" s="1566" customFormat="1" ht="16.5" thickBot="1">
      <c r="A68" s="1076" t="s">
        <v>1000</v>
      </c>
      <c r="B68" s="1077" t="s">
        <v>1450</v>
      </c>
      <c r="C68" s="306">
        <f ca="1">ROUND(C67*(1-((1+F70)/(1+F68))^F69)/(F68-F70),0)</f>
        <v>-4090330</v>
      </c>
      <c r="D68" s="1094" t="s">
        <v>1434</v>
      </c>
      <c r="E68" s="1079" t="s">
        <v>1435</v>
      </c>
      <c r="F68" s="317">
        <f ca="1">F40</f>
        <v>5.5E-2</v>
      </c>
      <c r="O68" s="1610" t="s">
        <v>1011</v>
      </c>
      <c r="P68" s="1649" t="s">
        <v>1548</v>
      </c>
      <c r="Q68" s="1602">
        <f ca="1">ROUND(Q69-Q70*Q71,0)</f>
        <v>-33238</v>
      </c>
      <c r="R68" s="1602" t="s">
        <v>1019</v>
      </c>
    </row>
    <row r="69" spans="1:18" s="1566" customFormat="1" ht="13.5" thickBot="1">
      <c r="A69" s="1080"/>
      <c r="B69" s="1081"/>
      <c r="C69" s="311"/>
      <c r="D69" s="1099" t="s">
        <v>1438</v>
      </c>
      <c r="E69" s="1079" t="s">
        <v>1439</v>
      </c>
      <c r="F69" s="338">
        <f ca="1">F41</f>
        <v>31.09</v>
      </c>
      <c r="O69" s="1610" t="s">
        <v>1016</v>
      </c>
      <c r="P69" s="1649" t="s">
        <v>1549</v>
      </c>
      <c r="Q69" s="1602">
        <f ca="1">C39</f>
        <v>114653</v>
      </c>
      <c r="R69" s="1602" t="s">
        <v>1494</v>
      </c>
    </row>
    <row r="70" spans="1:18" s="1566" customFormat="1" ht="13.5" thickBot="1">
      <c r="A70" s="1083"/>
      <c r="B70" s="1084"/>
      <c r="C70" s="315"/>
      <c r="D70" s="1095"/>
      <c r="E70" s="1079" t="s">
        <v>1442</v>
      </c>
      <c r="F70" s="1183">
        <f ca="1">F42</f>
        <v>2.5000000000000001E-2</v>
      </c>
      <c r="O70" s="1610" t="s">
        <v>1017</v>
      </c>
      <c r="P70" s="1649" t="s">
        <v>1550</v>
      </c>
      <c r="Q70" s="1602">
        <f ca="1">C13</f>
        <v>1739896</v>
      </c>
      <c r="R70" s="1602" t="s">
        <v>1494</v>
      </c>
    </row>
    <row r="71" spans="1:18" s="1566" customFormat="1" ht="13.5" thickBot="1">
      <c r="A71" s="1100" t="s">
        <v>1001</v>
      </c>
      <c r="B71" s="1101" t="s">
        <v>1452</v>
      </c>
      <c r="C71" s="341">
        <f ca="1">ROUND(C68/F71,0)</f>
        <v>-8966</v>
      </c>
      <c r="D71" s="1102" t="s">
        <v>1453</v>
      </c>
      <c r="E71" s="1103" t="s">
        <v>1454</v>
      </c>
      <c r="F71" s="344">
        <f ca="1">F43</f>
        <v>456.22</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147891</v>
      </c>
      <c r="D75" s="1566"/>
      <c r="E75" s="1566"/>
      <c r="F75" s="1566"/>
      <c r="K75" s="1584"/>
      <c r="L75" s="1566"/>
      <c r="O75" s="1600" t="s">
        <v>1014</v>
      </c>
      <c r="P75" s="1601" t="s">
        <v>1514</v>
      </c>
      <c r="Q75" s="1602">
        <f ca="1">Q65+Q66</f>
        <v>2263111</v>
      </c>
      <c r="R75" s="1602" t="s">
        <v>1015</v>
      </c>
    </row>
    <row r="76" spans="1:18">
      <c r="B76" s="347" t="s">
        <v>1472</v>
      </c>
      <c r="C76" s="348">
        <f ca="1">INDIRECT("'数据-取费表'!j"&amp;$G$1)</f>
        <v>8.5000000000000006E-2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-0.29000000000000004</v>
      </c>
    </row>
    <row r="80" spans="1:18">
      <c r="B80" s="345" t="s">
        <v>1476</v>
      </c>
      <c r="C80" s="279">
        <f ca="1">ROUND(C75/C39,3)</f>
        <v>1.29</v>
      </c>
    </row>
    <row r="81" spans="2:3">
      <c r="B81" s="275" t="s">
        <v>1477</v>
      </c>
      <c r="C81" s="243"/>
    </row>
    <row r="82" spans="2:3">
      <c r="B82" s="278" t="s">
        <v>1478</v>
      </c>
      <c r="C82" s="280">
        <f ca="1">1-C83</f>
        <v>0.23099999999999998</v>
      </c>
    </row>
    <row r="83" spans="2:3">
      <c r="B83" s="278" t="s">
        <v>1479</v>
      </c>
      <c r="C83" s="279">
        <f ca="1">ROUND(C13/C40,3)</f>
        <v>0.76900000000000002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7"/>
      <c r="H2" s="1037"/>
      <c r="I2" s="1037"/>
      <c r="J2" s="1037"/>
      <c r="K2" s="1037"/>
      <c r="L2" s="2961"/>
      <c r="M2" s="2962"/>
      <c r="N2" s="2962"/>
      <c r="O2" s="2962"/>
      <c r="P2" s="706"/>
      <c r="Q2" s="706"/>
      <c r="R2" s="706"/>
      <c r="S2" s="706"/>
      <c r="T2" s="706"/>
      <c r="U2" s="706"/>
      <c r="V2" s="706"/>
      <c r="W2" s="706"/>
      <c r="X2" s="706"/>
      <c r="Y2" s="706"/>
      <c r="Z2" s="706"/>
      <c r="AA2" s="706"/>
      <c r="AB2" s="706"/>
      <c r="AC2" s="707"/>
    </row>
    <row r="3" spans="1:29" s="357" customFormat="1" ht="28.5" customHeight="1" thickBot="1">
      <c r="A3" s="208" t="s">
        <v>2150</v>
      </c>
      <c r="B3" s="565" t="e">
        <f ca="1">IF(C2="——",C50,ROUND(B2*10000/D3,0))</f>
        <v>#DIV/0!</v>
      </c>
      <c r="C3" s="359" t="s">
        <v>2465</v>
      </c>
      <c r="D3" s="358">
        <f>IF(D1="",'数据-汇总表'!E3,SUMIF('数据-汇总表'!$C19:$C33,D1,'数据-汇总表'!$E19:$E33))</f>
        <v>27173.91</v>
      </c>
      <c r="E3" s="2138"/>
      <c r="F3" s="1038"/>
      <c r="G3" s="1037"/>
      <c r="H3" s="1037"/>
      <c r="I3" s="1037"/>
      <c r="J3" s="1037"/>
      <c r="K3" s="1039"/>
      <c r="L3" s="2961"/>
      <c r="M3" s="2962"/>
      <c r="N3" s="2962"/>
      <c r="O3" s="2962"/>
      <c r="P3" s="706"/>
      <c r="Q3" s="706"/>
      <c r="R3" s="706"/>
      <c r="S3" s="706"/>
      <c r="T3" s="706"/>
      <c r="U3" s="706"/>
      <c r="V3" s="706"/>
      <c r="W3" s="706"/>
      <c r="X3" s="706"/>
      <c r="Y3" s="706"/>
      <c r="Z3" s="706"/>
      <c r="AA3" s="706"/>
      <c r="AB3" s="706"/>
      <c r="AC3" s="707"/>
    </row>
    <row r="4" spans="1:29" ht="15">
      <c r="A4" s="360" t="s">
        <v>2466</v>
      </c>
      <c r="B4" s="361"/>
      <c r="C4" s="3304" t="s">
        <v>2467</v>
      </c>
      <c r="D4" s="3305"/>
      <c r="E4" s="3306" t="s">
        <v>2468</v>
      </c>
      <c r="F4" s="3307"/>
      <c r="G4" s="3304" t="s">
        <v>2469</v>
      </c>
      <c r="H4" s="3305"/>
      <c r="I4" s="3304" t="s">
        <v>2470</v>
      </c>
      <c r="J4" s="3305"/>
      <c r="K4" s="566" t="s">
        <v>2471</v>
      </c>
      <c r="L4" s="2942"/>
      <c r="M4" s="2943"/>
      <c r="N4" s="2943"/>
      <c r="O4" s="2943"/>
      <c r="P4" s="3340" t="s">
        <v>2472</v>
      </c>
      <c r="Q4" s="3341"/>
      <c r="R4" s="3335" t="s">
        <v>2468</v>
      </c>
      <c r="S4" s="3336"/>
      <c r="T4" s="3335" t="s">
        <v>2469</v>
      </c>
      <c r="U4" s="3336"/>
      <c r="V4" s="3344" t="s">
        <v>2470</v>
      </c>
      <c r="W4" s="3344"/>
      <c r="X4" s="2142"/>
      <c r="Y4" s="3335" t="s">
        <v>2472</v>
      </c>
      <c r="Z4" s="3336"/>
      <c r="AA4" s="3334" t="s">
        <v>2468</v>
      </c>
      <c r="AB4" s="3334" t="s">
        <v>2469</v>
      </c>
      <c r="AC4" s="3337" t="s">
        <v>2470</v>
      </c>
    </row>
    <row r="5" spans="1:29" ht="15">
      <c r="A5" s="363"/>
      <c r="B5" s="364"/>
      <c r="C5" s="3297" t="s">
        <v>2363</v>
      </c>
      <c r="D5" s="3298"/>
      <c r="E5" s="3295" t="s">
        <v>2364</v>
      </c>
      <c r="F5" s="3296"/>
      <c r="G5" s="3297" t="s">
        <v>2365</v>
      </c>
      <c r="H5" s="3298"/>
      <c r="I5" s="3297" t="s">
        <v>2366</v>
      </c>
      <c r="J5" s="3298"/>
      <c r="K5" s="566"/>
      <c r="L5" s="2942"/>
      <c r="M5" s="2943"/>
      <c r="N5" s="2943"/>
      <c r="O5" s="2943"/>
      <c r="P5" s="3342"/>
      <c r="Q5" s="3311"/>
      <c r="R5" s="3293"/>
      <c r="S5" s="3294"/>
      <c r="T5" s="3293"/>
      <c r="U5" s="3294"/>
      <c r="V5" s="3316"/>
      <c r="W5" s="3316"/>
      <c r="X5" s="1537"/>
      <c r="Y5" s="3293"/>
      <c r="Z5" s="3294"/>
      <c r="AA5" s="3287"/>
      <c r="AB5" s="3287"/>
      <c r="AC5" s="3338"/>
    </row>
    <row r="6" spans="1:29" ht="15.75" thickBot="1">
      <c r="A6" s="365"/>
      <c r="B6" s="366"/>
      <c r="C6" s="3299" t="s">
        <v>2367</v>
      </c>
      <c r="D6" s="3300"/>
      <c r="E6" s="3301" t="s">
        <v>2367</v>
      </c>
      <c r="F6" s="3302"/>
      <c r="G6" s="3299" t="s">
        <v>2367</v>
      </c>
      <c r="H6" s="3300"/>
      <c r="I6" s="3299" t="s">
        <v>2367</v>
      </c>
      <c r="J6" s="3300"/>
      <c r="K6" s="566" t="s">
        <v>2368</v>
      </c>
      <c r="L6" s="2942"/>
      <c r="M6" s="2943"/>
      <c r="N6" s="2943"/>
      <c r="O6" s="2943"/>
      <c r="P6" s="3343"/>
      <c r="Q6" s="3313"/>
      <c r="R6" s="3293"/>
      <c r="S6" s="3294"/>
      <c r="T6" s="3314"/>
      <c r="U6" s="3315"/>
      <c r="V6" s="3316"/>
      <c r="W6" s="3316"/>
      <c r="X6" s="1537"/>
      <c r="Y6" s="3314"/>
      <c r="Z6" s="3315"/>
      <c r="AA6" s="3288"/>
      <c r="AB6" s="3288"/>
      <c r="AC6" s="3339"/>
    </row>
    <row r="7" spans="1:29" s="113" customFormat="1" ht="15.75" thickBot="1">
      <c r="A7" s="367" t="s">
        <v>2369</v>
      </c>
      <c r="B7" s="368"/>
      <c r="C7" s="369">
        <f>'数据-取费表'!B2</f>
        <v>44544</v>
      </c>
      <c r="D7" s="370">
        <v>100</v>
      </c>
      <c r="E7" s="371"/>
      <c r="F7" s="372">
        <f>SUMIF(59:59,YEAR(E7)&amp;"-"&amp;MONTH(E7),60:60)</f>
        <v>0</v>
      </c>
      <c r="G7" s="371"/>
      <c r="H7" s="370">
        <f>SUMIF(59:59,YEAR(G7)&amp;"-"&amp;MONTH(G7),60:60)</f>
        <v>0</v>
      </c>
      <c r="I7" s="371"/>
      <c r="J7" s="370">
        <f>SUMIF(59:59,YEAR(I7)&amp;"-"&amp;MONTH(I7),60:60)</f>
        <v>0</v>
      </c>
      <c r="K7" s="567"/>
      <c r="L7" s="2944"/>
      <c r="M7" s="2945"/>
      <c r="N7" s="2945"/>
      <c r="O7" s="2945"/>
      <c r="P7" s="3345" t="s">
        <v>2370</v>
      </c>
      <c r="Q7" s="3317"/>
      <c r="R7" s="708" t="s">
        <v>17</v>
      </c>
      <c r="S7" s="709">
        <f t="shared" ref="S7:S15" si="0">F7</f>
        <v>0</v>
      </c>
      <c r="T7" s="708" t="s">
        <v>17</v>
      </c>
      <c r="U7" s="709">
        <f t="shared" ref="U7:U15" si="1">H7</f>
        <v>0</v>
      </c>
      <c r="V7" s="708" t="s">
        <v>17</v>
      </c>
      <c r="W7" s="709">
        <f t="shared" ref="W7:W15" si="2">J7</f>
        <v>0</v>
      </c>
      <c r="X7" s="710"/>
      <c r="Y7" s="3289" t="s">
        <v>2370</v>
      </c>
      <c r="Z7" s="3290"/>
      <c r="AA7" s="711" t="e">
        <f>D7/F7</f>
        <v>#DIV/0!</v>
      </c>
      <c r="AB7" s="711" t="e">
        <f>D7/H7</f>
        <v>#DIV/0!</v>
      </c>
      <c r="AC7" s="2143"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4"/>
      <c r="M8" s="2945"/>
      <c r="N8" s="2945"/>
      <c r="O8" s="2945"/>
      <c r="P8" s="3345" t="s">
        <v>2373</v>
      </c>
      <c r="Q8" s="3290"/>
      <c r="R8" s="708" t="s">
        <v>17</v>
      </c>
      <c r="S8" s="709">
        <f t="shared" si="0"/>
        <v>0</v>
      </c>
      <c r="T8" s="708" t="s">
        <v>17</v>
      </c>
      <c r="U8" s="709">
        <f t="shared" si="1"/>
        <v>0</v>
      </c>
      <c r="V8" s="708" t="s">
        <v>17</v>
      </c>
      <c r="W8" s="709">
        <f t="shared" si="2"/>
        <v>0</v>
      </c>
      <c r="X8" s="710"/>
      <c r="Y8" s="3289" t="s">
        <v>2373</v>
      </c>
      <c r="Z8" s="3290"/>
      <c r="AA8" s="711" t="e">
        <f t="shared" ref="AA8:AA47" si="3">D8/F8</f>
        <v>#DIV/0!</v>
      </c>
      <c r="AB8" s="711" t="e">
        <f t="shared" ref="AB8:AB47" si="4">D8/H8</f>
        <v>#DIV/0!</v>
      </c>
      <c r="AC8" s="2143"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4"/>
      <c r="M9" s="2945"/>
      <c r="N9" s="2945"/>
      <c r="O9" s="2945"/>
      <c r="P9" s="3303" t="s">
        <v>2376</v>
      </c>
      <c r="Q9" s="1525" t="str">
        <f t="shared" ref="Q9:Q15" si="6">B9</f>
        <v>用途</v>
      </c>
      <c r="R9" s="708" t="s">
        <v>17</v>
      </c>
      <c r="S9" s="709">
        <f t="shared" si="0"/>
        <v>100</v>
      </c>
      <c r="T9" s="708" t="s">
        <v>17</v>
      </c>
      <c r="U9" s="709">
        <f t="shared" si="1"/>
        <v>100</v>
      </c>
      <c r="V9" s="708" t="s">
        <v>17</v>
      </c>
      <c r="W9" s="709">
        <f t="shared" si="2"/>
        <v>100</v>
      </c>
      <c r="X9" s="710"/>
      <c r="Y9" s="3231" t="s">
        <v>2377</v>
      </c>
      <c r="Z9" s="55" t="str">
        <f t="shared" ref="Z9:Z15" si="7">Q9</f>
        <v>用途</v>
      </c>
      <c r="AA9" s="711">
        <f t="shared" si="3"/>
        <v>1</v>
      </c>
      <c r="AB9" s="711">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6"/>
      <c r="M10" s="2947"/>
      <c r="N10" s="2947"/>
      <c r="O10" s="2947"/>
      <c r="P10" s="3303"/>
      <c r="Q10" s="1525" t="str">
        <f t="shared" si="6"/>
        <v>土地使用年限（年）</v>
      </c>
      <c r="R10" s="708" t="s">
        <v>17</v>
      </c>
      <c r="S10" s="709">
        <f t="shared" si="0"/>
        <v>100</v>
      </c>
      <c r="T10" s="708" t="s">
        <v>17</v>
      </c>
      <c r="U10" s="709">
        <f t="shared" si="1"/>
        <v>100</v>
      </c>
      <c r="V10" s="708" t="s">
        <v>17</v>
      </c>
      <c r="W10" s="709">
        <f t="shared" si="2"/>
        <v>100</v>
      </c>
      <c r="X10" s="710"/>
      <c r="Y10" s="3231"/>
      <c r="Z10" s="55" t="str">
        <f t="shared" si="7"/>
        <v>土地使用年限（年）</v>
      </c>
      <c r="AA10" s="711">
        <f t="shared" si="3"/>
        <v>1</v>
      </c>
      <c r="AB10" s="711">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8"/>
      <c r="M11" s="2943"/>
      <c r="N11" s="2943"/>
      <c r="O11" s="2943"/>
      <c r="P11" s="3303"/>
      <c r="Q11" s="1525" t="str">
        <f t="shared" si="6"/>
        <v>容积率</v>
      </c>
      <c r="R11" s="708" t="s">
        <v>17</v>
      </c>
      <c r="S11" s="709" t="e">
        <f t="shared" si="0"/>
        <v>#N/A</v>
      </c>
      <c r="T11" s="708" t="s">
        <v>17</v>
      </c>
      <c r="U11" s="709" t="e">
        <f t="shared" si="1"/>
        <v>#N/A</v>
      </c>
      <c r="V11" s="708" t="s">
        <v>17</v>
      </c>
      <c r="W11" s="709" t="e">
        <f t="shared" si="2"/>
        <v>#N/A</v>
      </c>
      <c r="X11" s="710"/>
      <c r="Y11" s="3231"/>
      <c r="Z11" s="55" t="str">
        <f t="shared" si="7"/>
        <v>容积率</v>
      </c>
      <c r="AA11" s="711" t="e">
        <f t="shared" si="3"/>
        <v>#N/A</v>
      </c>
      <c r="AB11" s="711" t="e">
        <f t="shared" si="4"/>
        <v>#N/A</v>
      </c>
      <c r="AC11" s="2143" t="e">
        <f t="shared" si="5"/>
        <v>#N/A</v>
      </c>
    </row>
    <row r="12" spans="1:29" s="113"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4"/>
      <c r="M12" s="2945"/>
      <c r="N12" s="2945"/>
      <c r="O12" s="2945"/>
      <c r="P12" s="3303"/>
      <c r="Q12" s="1525">
        <f t="shared" si="6"/>
        <v>111</v>
      </c>
      <c r="R12" s="708" t="s">
        <v>17</v>
      </c>
      <c r="S12" s="709">
        <f t="shared" si="0"/>
        <v>100</v>
      </c>
      <c r="T12" s="708" t="s">
        <v>17</v>
      </c>
      <c r="U12" s="709">
        <f t="shared" si="1"/>
        <v>100</v>
      </c>
      <c r="V12" s="708" t="s">
        <v>17</v>
      </c>
      <c r="W12" s="709">
        <f t="shared" si="2"/>
        <v>100</v>
      </c>
      <c r="X12" s="710"/>
      <c r="Y12" s="3231"/>
      <c r="Z12" s="55">
        <f t="shared" si="7"/>
        <v>111</v>
      </c>
      <c r="AA12" s="711">
        <f>D12/F12</f>
        <v>1</v>
      </c>
      <c r="AB12" s="711">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9"/>
      <c r="M13" s="2943"/>
      <c r="N13" s="2943"/>
      <c r="O13" s="2943"/>
      <c r="P13" s="3303"/>
      <c r="Q13" s="1525">
        <f t="shared" si="6"/>
        <v>111</v>
      </c>
      <c r="R13" s="708" t="s">
        <v>17</v>
      </c>
      <c r="S13" s="709">
        <f t="shared" si="0"/>
        <v>100</v>
      </c>
      <c r="T13" s="708" t="s">
        <v>17</v>
      </c>
      <c r="U13" s="709">
        <f t="shared" si="1"/>
        <v>100</v>
      </c>
      <c r="V13" s="708" t="s">
        <v>17</v>
      </c>
      <c r="W13" s="709">
        <f t="shared" si="2"/>
        <v>100</v>
      </c>
      <c r="X13" s="710"/>
      <c r="Y13" s="3231"/>
      <c r="Z13" s="55">
        <f t="shared" si="7"/>
        <v>111</v>
      </c>
      <c r="AA13" s="711">
        <f t="shared" si="3"/>
        <v>1</v>
      </c>
      <c r="AB13" s="711">
        <f t="shared" si="4"/>
        <v>1</v>
      </c>
      <c r="AC13" s="2143">
        <f t="shared" si="5"/>
        <v>1</v>
      </c>
    </row>
    <row r="14" spans="1:29" ht="15.75" thickBot="1">
      <c r="A14" s="394"/>
      <c r="B14" s="2079">
        <v>111</v>
      </c>
      <c r="C14" s="395"/>
      <c r="D14" s="396">
        <v>100</v>
      </c>
      <c r="E14" s="582"/>
      <c r="F14" s="396">
        <f>SUMIF(75:75,E14,76:76)-SUMIF(75:75,C14,76:76)+100</f>
        <v>100</v>
      </c>
      <c r="G14" s="2144"/>
      <c r="H14" s="396">
        <f>SUMIF(75:75,G14,76:76)-SUMIF(75:75,C14,76:76)+100</f>
        <v>100</v>
      </c>
      <c r="I14" s="390"/>
      <c r="J14" s="396">
        <f>SUMIF(75:75,I14,76:76)-SUMIF(75:75,C14,76:76)+100</f>
        <v>100</v>
      </c>
      <c r="K14" s="569"/>
      <c r="L14" s="2949"/>
      <c r="M14" s="2943"/>
      <c r="N14" s="2943"/>
      <c r="O14" s="2943"/>
      <c r="P14" s="3303"/>
      <c r="Q14" s="1525">
        <f t="shared" si="6"/>
        <v>111</v>
      </c>
      <c r="R14" s="708" t="s">
        <v>17</v>
      </c>
      <c r="S14" s="709">
        <f t="shared" si="0"/>
        <v>100</v>
      </c>
      <c r="T14" s="708" t="s">
        <v>17</v>
      </c>
      <c r="U14" s="709">
        <f t="shared" si="1"/>
        <v>100</v>
      </c>
      <c r="V14" s="708" t="s">
        <v>17</v>
      </c>
      <c r="W14" s="709">
        <f t="shared" si="2"/>
        <v>100</v>
      </c>
      <c r="X14" s="710"/>
      <c r="Y14" s="3231"/>
      <c r="Z14" s="55">
        <f t="shared" si="7"/>
        <v>111</v>
      </c>
      <c r="AA14" s="711">
        <f t="shared" si="3"/>
        <v>1</v>
      </c>
      <c r="AB14" s="711">
        <f t="shared" si="4"/>
        <v>1</v>
      </c>
      <c r="AC14" s="2143">
        <f t="shared" si="5"/>
        <v>1</v>
      </c>
    </row>
    <row r="15" spans="1:29" ht="15">
      <c r="A15" s="398" t="s">
        <v>2380</v>
      </c>
      <c r="B15" s="583" t="s">
        <v>2508</v>
      </c>
      <c r="C15" s="2145">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49"/>
      <c r="M15" s="2943"/>
      <c r="N15" s="2943"/>
      <c r="O15" s="2943"/>
      <c r="P15" s="3330" t="s">
        <v>2381</v>
      </c>
      <c r="Q15" s="1534" t="str">
        <f t="shared" si="6"/>
        <v>办公集聚程度</v>
      </c>
      <c r="R15" s="712" t="s">
        <v>17</v>
      </c>
      <c r="S15" s="713">
        <f t="shared" si="0"/>
        <v>100</v>
      </c>
      <c r="T15" s="712" t="s">
        <v>17</v>
      </c>
      <c r="U15" s="713">
        <f t="shared" si="1"/>
        <v>100</v>
      </c>
      <c r="V15" s="712" t="s">
        <v>17</v>
      </c>
      <c r="W15" s="713">
        <f t="shared" si="2"/>
        <v>100</v>
      </c>
      <c r="X15" s="1537"/>
      <c r="Y15" s="3323" t="s">
        <v>2381</v>
      </c>
      <c r="Z15" s="1538" t="str">
        <f t="shared" si="7"/>
        <v>办公集聚程度</v>
      </c>
      <c r="AA15" s="1535">
        <f t="shared" si="3"/>
        <v>1</v>
      </c>
      <c r="AB15" s="1535">
        <f t="shared" si="4"/>
        <v>1</v>
      </c>
      <c r="AC15" s="2146">
        <f t="shared" si="5"/>
        <v>1</v>
      </c>
    </row>
    <row r="16" spans="1:29" ht="15">
      <c r="A16" s="386"/>
      <c r="B16" s="584"/>
      <c r="C16" s="2088"/>
      <c r="D16" s="406"/>
      <c r="E16" s="405"/>
      <c r="F16" s="406"/>
      <c r="G16" s="2088"/>
      <c r="H16" s="408"/>
      <c r="I16" s="405"/>
      <c r="J16" s="406"/>
      <c r="K16" s="571"/>
      <c r="L16" s="2949"/>
      <c r="M16" s="2943"/>
      <c r="N16" s="2943"/>
      <c r="O16" s="2943"/>
      <c r="P16" s="3331"/>
      <c r="Q16" s="1534"/>
      <c r="R16" s="712"/>
      <c r="S16" s="713"/>
      <c r="T16" s="712"/>
      <c r="U16" s="713"/>
      <c r="V16" s="712"/>
      <c r="W16" s="713"/>
      <c r="X16" s="1537"/>
      <c r="Y16" s="3324"/>
      <c r="Z16" s="1538"/>
      <c r="AA16" s="1535">
        <v>1</v>
      </c>
      <c r="AB16" s="1535">
        <v>1</v>
      </c>
      <c r="AC16" s="2146">
        <v>1</v>
      </c>
    </row>
    <row r="17" spans="1:29" ht="15">
      <c r="A17" s="386"/>
      <c r="B17" s="585" t="s">
        <v>1945</v>
      </c>
      <c r="C17" s="2147">
        <f>估价对象房地状况!C6</f>
        <v>0</v>
      </c>
      <c r="D17" s="408">
        <v>100</v>
      </c>
      <c r="E17" s="412"/>
      <c r="F17" s="408">
        <f>SUMIF(79:79,E18,80:80)-SUMIF(79:79,C18,80:80)+100</f>
        <v>100</v>
      </c>
      <c r="G17" s="410"/>
      <c r="H17" s="413">
        <f>SUMIF(79:79,G18,80:80)-SUMIF(79:79,C18,80:80)+100</f>
        <v>100</v>
      </c>
      <c r="I17" s="410"/>
      <c r="J17" s="413">
        <f>SUMIF(79:79,I18,80:80)-SUMIF(79:79,C18,80:80)+100</f>
        <v>100</v>
      </c>
      <c r="K17" s="570"/>
      <c r="L17" s="2949"/>
      <c r="M17" s="2943"/>
      <c r="N17" s="2943"/>
      <c r="O17" s="2943"/>
      <c r="P17" s="3331"/>
      <c r="Q17" s="1534" t="str">
        <f>B17</f>
        <v>交通便捷度</v>
      </c>
      <c r="R17" s="712" t="s">
        <v>17</v>
      </c>
      <c r="S17" s="713">
        <f>F17</f>
        <v>100</v>
      </c>
      <c r="T17" s="712" t="s">
        <v>17</v>
      </c>
      <c r="U17" s="713">
        <f>H17</f>
        <v>100</v>
      </c>
      <c r="V17" s="712" t="s">
        <v>17</v>
      </c>
      <c r="W17" s="713">
        <f>J17</f>
        <v>100</v>
      </c>
      <c r="X17" s="1537"/>
      <c r="Y17" s="3324"/>
      <c r="Z17" s="1538" t="str">
        <f>Q17</f>
        <v>交通便捷度</v>
      </c>
      <c r="AA17" s="1535">
        <f t="shared" si="3"/>
        <v>1</v>
      </c>
      <c r="AB17" s="1535">
        <f t="shared" si="4"/>
        <v>1</v>
      </c>
      <c r="AC17" s="2146">
        <f t="shared" si="5"/>
        <v>1</v>
      </c>
    </row>
    <row r="18" spans="1:29" ht="15">
      <c r="A18" s="386"/>
      <c r="B18" s="586"/>
      <c r="C18" s="2148"/>
      <c r="D18" s="408"/>
      <c r="E18" s="2086"/>
      <c r="F18" s="408"/>
      <c r="G18" s="2087"/>
      <c r="H18" s="406"/>
      <c r="I18" s="2087"/>
      <c r="J18" s="406"/>
      <c r="K18" s="571"/>
      <c r="L18" s="2949"/>
      <c r="M18" s="2943"/>
      <c r="N18" s="2943"/>
      <c r="O18" s="2943"/>
      <c r="P18" s="3331"/>
      <c r="Q18" s="1534"/>
      <c r="R18" s="712"/>
      <c r="S18" s="713"/>
      <c r="T18" s="712"/>
      <c r="U18" s="713"/>
      <c r="V18" s="712"/>
      <c r="W18" s="713"/>
      <c r="X18" s="1537"/>
      <c r="Y18" s="3324"/>
      <c r="Z18" s="1538"/>
      <c r="AA18" s="1535">
        <v>1</v>
      </c>
      <c r="AB18" s="1535">
        <v>1</v>
      </c>
      <c r="AC18" s="2146">
        <v>1</v>
      </c>
    </row>
    <row r="19" spans="1:29" ht="15">
      <c r="A19" s="386"/>
      <c r="B19" s="585" t="s">
        <v>2509</v>
      </c>
      <c r="C19" s="2147">
        <f>估价对象房地状况!C7</f>
        <v>0</v>
      </c>
      <c r="D19" s="413">
        <v>100</v>
      </c>
      <c r="E19" s="417"/>
      <c r="F19" s="413">
        <f>SUMIF(81:81,E20,82:82)-SUMIF(81:81,C20,82:82)+100</f>
        <v>100</v>
      </c>
      <c r="G19" s="415"/>
      <c r="H19" s="408">
        <f>SUMIF(81:81,G20,82:82)-SUMIF(81:81,C20,82:82)+100</f>
        <v>100</v>
      </c>
      <c r="I19" s="415"/>
      <c r="J19" s="408">
        <f>SUMIF(81:81,I20,82:82)-SUMIF(81:81,C20,82:82)+100</f>
        <v>100</v>
      </c>
      <c r="K19" s="570"/>
      <c r="L19" s="2949"/>
      <c r="M19" s="2943"/>
      <c r="N19" s="2943"/>
      <c r="O19" s="2943"/>
      <c r="P19" s="3331"/>
      <c r="Q19" s="1534" t="str">
        <f>B19</f>
        <v>公共配套设施</v>
      </c>
      <c r="R19" s="712" t="s">
        <v>17</v>
      </c>
      <c r="S19" s="713">
        <f>F19</f>
        <v>100</v>
      </c>
      <c r="T19" s="712" t="s">
        <v>17</v>
      </c>
      <c r="U19" s="713">
        <f>H19</f>
        <v>100</v>
      </c>
      <c r="V19" s="712" t="s">
        <v>17</v>
      </c>
      <c r="W19" s="713">
        <f>J19</f>
        <v>100</v>
      </c>
      <c r="X19" s="1537"/>
      <c r="Y19" s="3324"/>
      <c r="Z19" s="1538" t="str">
        <f>Q19</f>
        <v>公共配套设施</v>
      </c>
      <c r="AA19" s="1535">
        <f t="shared" si="3"/>
        <v>1</v>
      </c>
      <c r="AB19" s="1535">
        <f t="shared" si="4"/>
        <v>1</v>
      </c>
      <c r="AC19" s="2146">
        <f t="shared" si="5"/>
        <v>1</v>
      </c>
    </row>
    <row r="20" spans="1:29" ht="15">
      <c r="A20" s="386"/>
      <c r="B20" s="586"/>
      <c r="C20" s="2088"/>
      <c r="D20" s="406"/>
      <c r="E20" s="2081"/>
      <c r="F20" s="406"/>
      <c r="G20" s="2082"/>
      <c r="H20" s="406"/>
      <c r="I20" s="2082"/>
      <c r="J20" s="406"/>
      <c r="K20" s="571"/>
      <c r="L20" s="2949"/>
      <c r="M20" s="2943"/>
      <c r="N20" s="2943"/>
      <c r="O20" s="2943"/>
      <c r="P20" s="3331"/>
      <c r="Q20" s="1534"/>
      <c r="R20" s="712"/>
      <c r="S20" s="713"/>
      <c r="T20" s="712"/>
      <c r="U20" s="713"/>
      <c r="V20" s="712"/>
      <c r="W20" s="713"/>
      <c r="X20" s="1537"/>
      <c r="Y20" s="3324"/>
      <c r="Z20" s="1538"/>
      <c r="AA20" s="1535">
        <v>1</v>
      </c>
      <c r="AB20" s="1535">
        <v>1</v>
      </c>
      <c r="AC20" s="2146">
        <v>1</v>
      </c>
    </row>
    <row r="21" spans="1:29" ht="15">
      <c r="A21" s="386"/>
      <c r="B21" s="587" t="s">
        <v>2510</v>
      </c>
      <c r="C21" s="2147">
        <f>估价对象房地状况!C8</f>
        <v>0</v>
      </c>
      <c r="D21" s="408">
        <v>100</v>
      </c>
      <c r="E21" s="417"/>
      <c r="F21" s="413">
        <f>SUMIF(83:83,E22,84:84)-SUMIF(83:83,C22,84:84)+100</f>
        <v>100</v>
      </c>
      <c r="G21" s="415"/>
      <c r="H21" s="408">
        <f>SUMIF(83:83,G22,84:84)-SUMIF(83:83,C22,84:84)+100</f>
        <v>100</v>
      </c>
      <c r="I21" s="415"/>
      <c r="J21" s="408">
        <f>SUMIF(83:83,I22,84:84)-SUMIF(83:83,C22,84:84)+100</f>
        <v>100</v>
      </c>
      <c r="K21" s="570"/>
      <c r="L21" s="2949"/>
      <c r="M21" s="2943"/>
      <c r="N21" s="2943"/>
      <c r="O21" s="2943"/>
      <c r="P21" s="3331"/>
      <c r="Q21" s="1534" t="str">
        <f>B21</f>
        <v>基础设施水平</v>
      </c>
      <c r="R21" s="712" t="s">
        <v>17</v>
      </c>
      <c r="S21" s="713">
        <f>F21</f>
        <v>100</v>
      </c>
      <c r="T21" s="712" t="s">
        <v>17</v>
      </c>
      <c r="U21" s="713">
        <f>H21</f>
        <v>100</v>
      </c>
      <c r="V21" s="712" t="s">
        <v>17</v>
      </c>
      <c r="W21" s="713">
        <f>J21</f>
        <v>100</v>
      </c>
      <c r="X21" s="1537"/>
      <c r="Y21" s="3324"/>
      <c r="Z21" s="1538" t="str">
        <f>Q21</f>
        <v>基础设施水平</v>
      </c>
      <c r="AA21" s="1535">
        <f t="shared" ref="AA21" si="8">D21/F21</f>
        <v>1</v>
      </c>
      <c r="AB21" s="1535">
        <f t="shared" ref="AB21" si="9">D21/H21</f>
        <v>1</v>
      </c>
      <c r="AC21" s="2146">
        <f t="shared" ref="AC21" si="10">D21/J21</f>
        <v>1</v>
      </c>
    </row>
    <row r="22" spans="1:29" ht="15">
      <c r="A22" s="386"/>
      <c r="B22" s="587"/>
      <c r="C22" s="2148"/>
      <c r="D22" s="406"/>
      <c r="E22" s="405"/>
      <c r="F22" s="406"/>
      <c r="G22" s="2088"/>
      <c r="H22" s="406"/>
      <c r="I22" s="2088"/>
      <c r="J22" s="406"/>
      <c r="K22" s="1290"/>
      <c r="L22" s="2949"/>
      <c r="M22" s="2943"/>
      <c r="N22" s="2943"/>
      <c r="O22" s="2943"/>
      <c r="P22" s="3331"/>
      <c r="Q22" s="1534"/>
      <c r="R22" s="712"/>
      <c r="S22" s="713"/>
      <c r="T22" s="712"/>
      <c r="U22" s="713"/>
      <c r="V22" s="712"/>
      <c r="W22" s="713"/>
      <c r="X22" s="1537"/>
      <c r="Y22" s="3324"/>
      <c r="Z22" s="1538"/>
      <c r="AA22" s="1535">
        <v>1</v>
      </c>
      <c r="AB22" s="1535">
        <v>1</v>
      </c>
      <c r="AC22" s="2146">
        <v>1</v>
      </c>
    </row>
    <row r="23" spans="1:29" ht="15">
      <c r="A23" s="386"/>
      <c r="B23" s="585" t="s">
        <v>2511</v>
      </c>
      <c r="C23" s="2147">
        <f>估价对象房地状况!C9</f>
        <v>0</v>
      </c>
      <c r="D23" s="408">
        <v>100</v>
      </c>
      <c r="E23" s="412"/>
      <c r="F23" s="408">
        <f>SUMIF(85:85,E24,86:86)-SUMIF(85:85,C24,86:86)+100</f>
        <v>100</v>
      </c>
      <c r="G23" s="410"/>
      <c r="H23" s="408">
        <f>SUMIF(85:85,G24,86:86)-SUMIF(85:85,C24,86:86)+100</f>
        <v>100</v>
      </c>
      <c r="I23" s="410"/>
      <c r="J23" s="408">
        <f>SUMIF(85:85,I24,86:86)-SUMIF(85:85,C24,86:86)+100</f>
        <v>100</v>
      </c>
      <c r="K23" s="570"/>
      <c r="L23" s="2949"/>
      <c r="M23" s="2943"/>
      <c r="N23" s="2943"/>
      <c r="O23" s="2943"/>
      <c r="P23" s="3331"/>
      <c r="Q23" s="1534" t="str">
        <f>B23</f>
        <v>环境质量</v>
      </c>
      <c r="R23" s="712" t="s">
        <v>17</v>
      </c>
      <c r="S23" s="713">
        <f>F23</f>
        <v>100</v>
      </c>
      <c r="T23" s="712" t="s">
        <v>17</v>
      </c>
      <c r="U23" s="713">
        <f>H23</f>
        <v>100</v>
      </c>
      <c r="V23" s="712" t="s">
        <v>17</v>
      </c>
      <c r="W23" s="713">
        <f>J23</f>
        <v>100</v>
      </c>
      <c r="X23" s="1537"/>
      <c r="Y23" s="3324"/>
      <c r="Z23" s="1538" t="str">
        <f>Q23</f>
        <v>环境质量</v>
      </c>
      <c r="AA23" s="1535">
        <f t="shared" si="3"/>
        <v>1</v>
      </c>
      <c r="AB23" s="1535">
        <f t="shared" si="4"/>
        <v>1</v>
      </c>
      <c r="AC23" s="2146">
        <f t="shared" si="5"/>
        <v>1</v>
      </c>
    </row>
    <row r="24" spans="1:29" ht="15">
      <c r="A24" s="386"/>
      <c r="B24" s="587"/>
      <c r="C24" s="2088"/>
      <c r="D24" s="406"/>
      <c r="E24" s="2081"/>
      <c r="F24" s="406"/>
      <c r="G24" s="2082"/>
      <c r="H24" s="406"/>
      <c r="I24" s="2082"/>
      <c r="J24" s="406"/>
      <c r="K24" s="571"/>
      <c r="L24" s="2949"/>
      <c r="M24" s="2943"/>
      <c r="N24" s="2943"/>
      <c r="O24" s="2943"/>
      <c r="P24" s="3331"/>
      <c r="Q24" s="1534"/>
      <c r="R24" s="712"/>
      <c r="S24" s="713"/>
      <c r="T24" s="712"/>
      <c r="U24" s="713"/>
      <c r="V24" s="712"/>
      <c r="W24" s="713"/>
      <c r="X24" s="1537"/>
      <c r="Y24" s="3324"/>
      <c r="Z24" s="1538"/>
      <c r="AA24" s="1535">
        <v>1</v>
      </c>
      <c r="AB24" s="1535">
        <v>1</v>
      </c>
      <c r="AC24" s="2146">
        <v>1</v>
      </c>
    </row>
    <row r="25" spans="1:29" ht="27">
      <c r="A25" s="363"/>
      <c r="B25" s="585"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9"/>
      <c r="M25" s="2943"/>
      <c r="N25" s="2943"/>
      <c r="O25" s="2943"/>
      <c r="P25" s="3331"/>
      <c r="Q25" s="1534" t="str">
        <f>B25</f>
        <v>毗邻道路的类型与等级</v>
      </c>
      <c r="R25" s="712" t="s">
        <v>17</v>
      </c>
      <c r="S25" s="713">
        <f>F25</f>
        <v>100</v>
      </c>
      <c r="T25" s="712" t="s">
        <v>17</v>
      </c>
      <c r="U25" s="713">
        <f>H25</f>
        <v>100</v>
      </c>
      <c r="V25" s="712" t="s">
        <v>17</v>
      </c>
      <c r="W25" s="713">
        <f>J25</f>
        <v>100</v>
      </c>
      <c r="X25" s="1537"/>
      <c r="Y25" s="3324"/>
      <c r="Z25" s="1538" t="str">
        <f>Q25</f>
        <v>毗邻道路的类型与等级</v>
      </c>
      <c r="AA25" s="1535">
        <f t="shared" si="3"/>
        <v>1</v>
      </c>
      <c r="AB25" s="1535">
        <f t="shared" si="4"/>
        <v>1</v>
      </c>
      <c r="AC25" s="2146">
        <f t="shared" si="5"/>
        <v>1</v>
      </c>
    </row>
    <row r="26" spans="1:29" ht="15">
      <c r="A26" s="363"/>
      <c r="B26" s="586"/>
      <c r="C26" s="588"/>
      <c r="D26" s="393"/>
      <c r="E26" s="572"/>
      <c r="F26" s="393"/>
      <c r="G26" s="588"/>
      <c r="H26" s="393"/>
      <c r="I26" s="572"/>
      <c r="J26" s="393"/>
      <c r="K26" s="571"/>
      <c r="L26" s="2949"/>
      <c r="M26" s="2943"/>
      <c r="N26" s="2943"/>
      <c r="O26" s="2943"/>
      <c r="P26" s="3331"/>
      <c r="Q26" s="1534"/>
      <c r="R26" s="712"/>
      <c r="S26" s="713"/>
      <c r="T26" s="712"/>
      <c r="U26" s="713"/>
      <c r="V26" s="712"/>
      <c r="W26" s="713"/>
      <c r="X26" s="1537"/>
      <c r="Y26" s="3324"/>
      <c r="Z26" s="1538"/>
      <c r="AA26" s="1535">
        <v>1</v>
      </c>
      <c r="AB26" s="1535">
        <v>1</v>
      </c>
      <c r="AC26" s="2146">
        <v>1</v>
      </c>
    </row>
    <row r="27" spans="1:29" ht="15">
      <c r="A27" s="386"/>
      <c r="B27" s="586" t="s">
        <v>2480</v>
      </c>
      <c r="C27" s="588"/>
      <c r="D27" s="393">
        <v>100</v>
      </c>
      <c r="E27" s="572"/>
      <c r="F27" s="393">
        <f>SUMIF(89:89,E27,90:90)-SUMIF(89:89,C27,90:90)+100</f>
        <v>100</v>
      </c>
      <c r="G27" s="588"/>
      <c r="H27" s="393">
        <f>SUMIF(89:89,G27,90:90)-SUMIF(89:89,C27,90:90)+100</f>
        <v>100</v>
      </c>
      <c r="I27" s="572"/>
      <c r="J27" s="393">
        <f>SUMIF(89:89,I27,90:90)-SUMIF(89:89,C27,90:90)+100</f>
        <v>100</v>
      </c>
      <c r="K27" s="568"/>
      <c r="L27" s="2949"/>
      <c r="M27" s="2943"/>
      <c r="N27" s="2943"/>
      <c r="O27" s="2943"/>
      <c r="P27" s="3331"/>
      <c r="Q27" s="1534" t="str">
        <f t="shared" ref="Q27:Q47" si="11">B27</f>
        <v>楼层</v>
      </c>
      <c r="R27" s="712" t="s">
        <v>17</v>
      </c>
      <c r="S27" s="713">
        <f>F27</f>
        <v>100</v>
      </c>
      <c r="T27" s="712" t="s">
        <v>17</v>
      </c>
      <c r="U27" s="713">
        <f>H27</f>
        <v>100</v>
      </c>
      <c r="V27" s="712" t="s">
        <v>17</v>
      </c>
      <c r="W27" s="713">
        <f>J27</f>
        <v>100</v>
      </c>
      <c r="X27" s="1537"/>
      <c r="Y27" s="3324"/>
      <c r="Z27" s="1538" t="str">
        <f>Q27</f>
        <v>楼层</v>
      </c>
      <c r="AA27" s="1535">
        <f t="shared" si="3"/>
        <v>1</v>
      </c>
      <c r="AB27" s="1535">
        <f t="shared" si="4"/>
        <v>1</v>
      </c>
      <c r="AC27" s="2146">
        <f t="shared" si="5"/>
        <v>1</v>
      </c>
    </row>
    <row r="28" spans="1:29" s="113" customFormat="1" ht="15">
      <c r="A28" s="389"/>
      <c r="B28" s="585"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4"/>
      <c r="M28" s="2945"/>
      <c r="N28" s="2945"/>
      <c r="O28" s="2945"/>
      <c r="P28" s="3331"/>
      <c r="Q28" s="1525" t="str">
        <f t="shared" si="11"/>
        <v>朝向</v>
      </c>
      <c r="R28" s="708" t="s">
        <v>17</v>
      </c>
      <c r="S28" s="709">
        <f>F28</f>
        <v>100</v>
      </c>
      <c r="T28" s="708" t="s">
        <v>17</v>
      </c>
      <c r="U28" s="709">
        <f>H28</f>
        <v>100</v>
      </c>
      <c r="V28" s="708" t="s">
        <v>17</v>
      </c>
      <c r="W28" s="709">
        <f>J28</f>
        <v>100</v>
      </c>
      <c r="X28" s="710"/>
      <c r="Y28" s="3324"/>
      <c r="Z28" s="55"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9"/>
      <c r="M29" s="2943"/>
      <c r="N29" s="2943"/>
      <c r="O29" s="2943"/>
      <c r="P29" s="3331"/>
      <c r="Q29" s="1534">
        <f t="shared" si="11"/>
        <v>111</v>
      </c>
      <c r="R29" s="712" t="s">
        <v>17</v>
      </c>
      <c r="S29" s="713">
        <f t="shared" ref="S29:S47" si="12">F29</f>
        <v>100</v>
      </c>
      <c r="T29" s="712" t="s">
        <v>17</v>
      </c>
      <c r="U29" s="713">
        <f t="shared" ref="U29:U47" si="13">H29</f>
        <v>100</v>
      </c>
      <c r="V29" s="712" t="s">
        <v>17</v>
      </c>
      <c r="W29" s="713">
        <f t="shared" ref="W29:W47" si="14">J29</f>
        <v>100</v>
      </c>
      <c r="X29" s="1537"/>
      <c r="Y29" s="3324"/>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9"/>
      <c r="M30" s="2943"/>
      <c r="N30" s="2943"/>
      <c r="O30" s="2943"/>
      <c r="P30" s="3331"/>
      <c r="Q30" s="1534">
        <f t="shared" si="11"/>
        <v>111</v>
      </c>
      <c r="R30" s="712" t="s">
        <v>17</v>
      </c>
      <c r="S30" s="713">
        <f t="shared" si="12"/>
        <v>100</v>
      </c>
      <c r="T30" s="712" t="s">
        <v>17</v>
      </c>
      <c r="U30" s="713">
        <f t="shared" si="13"/>
        <v>100</v>
      </c>
      <c r="V30" s="712" t="s">
        <v>17</v>
      </c>
      <c r="W30" s="713">
        <f t="shared" si="14"/>
        <v>100</v>
      </c>
      <c r="X30" s="1537"/>
      <c r="Y30" s="3324"/>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9"/>
      <c r="M31" s="2943"/>
      <c r="N31" s="2943"/>
      <c r="O31" s="2943"/>
      <c r="P31" s="3331"/>
      <c r="Q31" s="1534">
        <f t="shared" si="11"/>
        <v>111</v>
      </c>
      <c r="R31" s="712" t="s">
        <v>17</v>
      </c>
      <c r="S31" s="713">
        <f t="shared" si="12"/>
        <v>100</v>
      </c>
      <c r="T31" s="712" t="s">
        <v>17</v>
      </c>
      <c r="U31" s="713">
        <f t="shared" si="13"/>
        <v>100</v>
      </c>
      <c r="V31" s="712" t="s">
        <v>17</v>
      </c>
      <c r="W31" s="713">
        <f t="shared" si="14"/>
        <v>100</v>
      </c>
      <c r="X31" s="1537"/>
      <c r="Y31" s="3324"/>
      <c r="Z31" s="1538">
        <f t="shared" si="15"/>
        <v>111</v>
      </c>
      <c r="AA31" s="1535">
        <f t="shared" si="3"/>
        <v>1</v>
      </c>
      <c r="AB31" s="1535">
        <f t="shared" si="4"/>
        <v>1</v>
      </c>
      <c r="AC31" s="2146">
        <f t="shared" si="5"/>
        <v>1</v>
      </c>
    </row>
    <row r="32" spans="1:29" ht="15.75" thickBot="1">
      <c r="A32" s="394"/>
      <c r="B32" s="589">
        <v>111</v>
      </c>
      <c r="C32" s="2093"/>
      <c r="D32" s="396">
        <v>100</v>
      </c>
      <c r="E32" s="582"/>
      <c r="F32" s="396">
        <f>SUMIF(99:99,E32,100:100)-SUMIF(99:99,C32,100:100)+100</f>
        <v>100</v>
      </c>
      <c r="G32" s="2144"/>
      <c r="H32" s="396">
        <f>SUMIF(99:99,G32,100:100)-SUMIF(99:99,C32,100:100)+100</f>
        <v>100</v>
      </c>
      <c r="I32" s="390"/>
      <c r="J32" s="396">
        <f>SUMIF(99:99,I32,100:100)-SUMIF(99:99,C32,100:100)+100</f>
        <v>100</v>
      </c>
      <c r="K32" s="569"/>
      <c r="L32" s="2949"/>
      <c r="M32" s="2943"/>
      <c r="N32" s="2943"/>
      <c r="O32" s="2943"/>
      <c r="P32" s="3331"/>
      <c r="Q32" s="1534">
        <f t="shared" si="11"/>
        <v>111</v>
      </c>
      <c r="R32" s="712" t="s">
        <v>17</v>
      </c>
      <c r="S32" s="713">
        <f t="shared" si="12"/>
        <v>100</v>
      </c>
      <c r="T32" s="712" t="s">
        <v>17</v>
      </c>
      <c r="U32" s="713">
        <f t="shared" si="13"/>
        <v>100</v>
      </c>
      <c r="V32" s="712" t="s">
        <v>17</v>
      </c>
      <c r="W32" s="713">
        <f t="shared" si="14"/>
        <v>100</v>
      </c>
      <c r="X32" s="1537"/>
      <c r="Y32" s="3324"/>
      <c r="Z32" s="1538">
        <f t="shared" si="15"/>
        <v>111</v>
      </c>
      <c r="AA32" s="1535">
        <f t="shared" si="3"/>
        <v>1</v>
      </c>
      <c r="AB32" s="1535">
        <f t="shared" si="4"/>
        <v>1</v>
      </c>
      <c r="AC32" s="2146">
        <f t="shared" si="5"/>
        <v>1</v>
      </c>
    </row>
    <row r="33" spans="1:29" ht="15">
      <c r="A33" s="398" t="s">
        <v>2384</v>
      </c>
      <c r="B33" s="67"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9"/>
      <c r="M33" s="2943"/>
      <c r="N33" s="2943"/>
      <c r="O33" s="2943"/>
      <c r="P33" s="3325" t="s">
        <v>2386</v>
      </c>
      <c r="Q33" s="1534" t="str">
        <f t="shared" si="11"/>
        <v>建筑类型</v>
      </c>
      <c r="R33" s="712" t="s">
        <v>17</v>
      </c>
      <c r="S33" s="713">
        <f t="shared" si="12"/>
        <v>100</v>
      </c>
      <c r="T33" s="712" t="s">
        <v>17</v>
      </c>
      <c r="U33" s="713">
        <f t="shared" si="13"/>
        <v>100</v>
      </c>
      <c r="V33" s="712" t="s">
        <v>17</v>
      </c>
      <c r="W33" s="713">
        <f t="shared" si="14"/>
        <v>100</v>
      </c>
      <c r="X33" s="1537"/>
      <c r="Y33" s="3328"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8"/>
      <c r="M34" s="2950"/>
      <c r="N34" s="2950"/>
      <c r="O34" s="2950"/>
      <c r="P34" s="3326"/>
      <c r="Q34" s="714" t="str">
        <f t="shared" si="11"/>
        <v>项目建筑规模</v>
      </c>
      <c r="R34" s="715" t="s">
        <v>17</v>
      </c>
      <c r="S34" s="716" t="e">
        <f t="shared" si="12"/>
        <v>#N/A</v>
      </c>
      <c r="T34" s="715" t="s">
        <v>17</v>
      </c>
      <c r="U34" s="716" t="e">
        <f t="shared" si="13"/>
        <v>#N/A</v>
      </c>
      <c r="V34" s="715" t="s">
        <v>17</v>
      </c>
      <c r="W34" s="716" t="e">
        <f t="shared" si="14"/>
        <v>#N/A</v>
      </c>
      <c r="X34" s="717"/>
      <c r="Y34" s="3328"/>
      <c r="Z34" s="718"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9"/>
      <c r="M35" s="2943"/>
      <c r="N35" s="2943"/>
      <c r="O35" s="2943"/>
      <c r="P35" s="3326"/>
      <c r="Q35" s="1534" t="str">
        <f t="shared" si="11"/>
        <v>建筑结构</v>
      </c>
      <c r="R35" s="712" t="s">
        <v>17</v>
      </c>
      <c r="S35" s="713">
        <f t="shared" si="12"/>
        <v>100</v>
      </c>
      <c r="T35" s="712" t="s">
        <v>17</v>
      </c>
      <c r="U35" s="713">
        <f t="shared" si="13"/>
        <v>100</v>
      </c>
      <c r="V35" s="712" t="s">
        <v>17</v>
      </c>
      <c r="W35" s="713">
        <f t="shared" si="14"/>
        <v>100</v>
      </c>
      <c r="X35" s="1537"/>
      <c r="Y35" s="3328"/>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9"/>
      <c r="M36" s="2943"/>
      <c r="N36" s="2943"/>
      <c r="O36" s="2943"/>
      <c r="P36" s="3326"/>
      <c r="Q36" s="1534" t="str">
        <f t="shared" si="11"/>
        <v>公共部分装修</v>
      </c>
      <c r="R36" s="712" t="s">
        <v>17</v>
      </c>
      <c r="S36" s="713">
        <f t="shared" si="12"/>
        <v>100</v>
      </c>
      <c r="T36" s="712" t="s">
        <v>17</v>
      </c>
      <c r="U36" s="713">
        <f t="shared" si="13"/>
        <v>100</v>
      </c>
      <c r="V36" s="712" t="s">
        <v>17</v>
      </c>
      <c r="W36" s="713">
        <f t="shared" si="14"/>
        <v>100</v>
      </c>
      <c r="X36" s="1537"/>
      <c r="Y36" s="3328"/>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9"/>
      <c r="M37" s="2943"/>
      <c r="N37" s="2943"/>
      <c r="O37" s="2943"/>
      <c r="P37" s="3326"/>
      <c r="Q37" s="1534" t="str">
        <f t="shared" si="11"/>
        <v>成新度</v>
      </c>
      <c r="R37" s="712" t="s">
        <v>17</v>
      </c>
      <c r="S37" s="713" t="e">
        <f t="shared" si="12"/>
        <v>#N/A</v>
      </c>
      <c r="T37" s="712" t="s">
        <v>17</v>
      </c>
      <c r="U37" s="713" t="e">
        <f t="shared" si="13"/>
        <v>#N/A</v>
      </c>
      <c r="V37" s="712" t="s">
        <v>17</v>
      </c>
      <c r="W37" s="713" t="e">
        <f t="shared" si="14"/>
        <v>#N/A</v>
      </c>
      <c r="X37" s="1537"/>
      <c r="Y37" s="3328"/>
      <c r="Z37" s="1538" t="str">
        <f t="shared" si="15"/>
        <v>成新度</v>
      </c>
      <c r="AA37" s="1535" t="e">
        <f t="shared" si="3"/>
        <v>#N/A</v>
      </c>
      <c r="AB37" s="1535" t="e">
        <f t="shared" si="4"/>
        <v>#N/A</v>
      </c>
      <c r="AC37" s="2146"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4"/>
      <c r="M38" s="2945"/>
      <c r="N38" s="2945"/>
      <c r="O38" s="2945"/>
      <c r="P38" s="3326"/>
      <c r="Q38" s="1525" t="str">
        <f t="shared" si="11"/>
        <v>写字楼等级</v>
      </c>
      <c r="R38" s="708" t="s">
        <v>17</v>
      </c>
      <c r="S38" s="709">
        <f t="shared" si="12"/>
        <v>100</v>
      </c>
      <c r="T38" s="708" t="s">
        <v>17</v>
      </c>
      <c r="U38" s="709">
        <f t="shared" si="13"/>
        <v>100</v>
      </c>
      <c r="V38" s="708" t="s">
        <v>17</v>
      </c>
      <c r="W38" s="709">
        <f t="shared" si="14"/>
        <v>100</v>
      </c>
      <c r="X38" s="710"/>
      <c r="Y38" s="3328"/>
      <c r="Z38" s="55" t="str">
        <f t="shared" si="15"/>
        <v>写字楼等级</v>
      </c>
      <c r="AA38" s="711">
        <f t="shared" si="3"/>
        <v>1</v>
      </c>
      <c r="AB38" s="711">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9"/>
      <c r="M39" s="2943"/>
      <c r="N39" s="2943"/>
      <c r="O39" s="2943"/>
      <c r="P39" s="3326" t="s">
        <v>2386</v>
      </c>
      <c r="Q39" s="1534" t="str">
        <f t="shared" si="11"/>
        <v>物业管理</v>
      </c>
      <c r="R39" s="712" t="s">
        <v>17</v>
      </c>
      <c r="S39" s="713">
        <f t="shared" si="12"/>
        <v>100</v>
      </c>
      <c r="T39" s="712" t="s">
        <v>17</v>
      </c>
      <c r="U39" s="713">
        <f t="shared" si="13"/>
        <v>100</v>
      </c>
      <c r="V39" s="712" t="s">
        <v>17</v>
      </c>
      <c r="W39" s="713">
        <f t="shared" si="14"/>
        <v>100</v>
      </c>
      <c r="X39" s="1537"/>
      <c r="Y39" s="3328"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9"/>
      <c r="M40" s="2943"/>
      <c r="N40" s="2943"/>
      <c r="O40" s="2943"/>
      <c r="P40" s="3326"/>
      <c r="Q40" s="1534" t="str">
        <f t="shared" si="11"/>
        <v>市政基础设施</v>
      </c>
      <c r="R40" s="712" t="s">
        <v>17</v>
      </c>
      <c r="S40" s="713">
        <f t="shared" si="12"/>
        <v>100</v>
      </c>
      <c r="T40" s="712" t="s">
        <v>17</v>
      </c>
      <c r="U40" s="713">
        <f t="shared" si="13"/>
        <v>100</v>
      </c>
      <c r="V40" s="712" t="s">
        <v>17</v>
      </c>
      <c r="W40" s="713">
        <f t="shared" si="14"/>
        <v>100</v>
      </c>
      <c r="X40" s="1537"/>
      <c r="Y40" s="3328"/>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9"/>
      <c r="M41" s="2943"/>
      <c r="N41" s="2943"/>
      <c r="O41" s="2943"/>
      <c r="P41" s="3326"/>
      <c r="Q41" s="1534" t="str">
        <f t="shared" si="11"/>
        <v>层高</v>
      </c>
      <c r="R41" s="712" t="s">
        <v>17</v>
      </c>
      <c r="S41" s="713">
        <f t="shared" si="12"/>
        <v>100</v>
      </c>
      <c r="T41" s="712" t="s">
        <v>17</v>
      </c>
      <c r="U41" s="713">
        <f t="shared" si="13"/>
        <v>100</v>
      </c>
      <c r="V41" s="712" t="s">
        <v>17</v>
      </c>
      <c r="W41" s="713">
        <f t="shared" si="14"/>
        <v>100</v>
      </c>
      <c r="X41" s="1537"/>
      <c r="Y41" s="3328"/>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26"/>
      <c r="Q42" s="714" t="str">
        <f t="shared" si="11"/>
        <v>单套建筑面积</v>
      </c>
      <c r="R42" s="715" t="s">
        <v>17</v>
      </c>
      <c r="S42" s="716">
        <f t="shared" si="12"/>
        <v>100</v>
      </c>
      <c r="T42" s="715" t="s">
        <v>17</v>
      </c>
      <c r="U42" s="716">
        <f t="shared" si="13"/>
        <v>100</v>
      </c>
      <c r="V42" s="715" t="s">
        <v>17</v>
      </c>
      <c r="W42" s="716">
        <f t="shared" si="14"/>
        <v>100</v>
      </c>
      <c r="X42" s="717"/>
      <c r="Y42" s="3328"/>
      <c r="Z42" s="718"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9"/>
      <c r="M43" s="2943"/>
      <c r="N43" s="2943"/>
      <c r="O43" s="2943"/>
      <c r="P43" s="3326"/>
      <c r="Q43" s="1534" t="str">
        <f t="shared" si="11"/>
        <v>内部装修</v>
      </c>
      <c r="R43" s="712" t="s">
        <v>17</v>
      </c>
      <c r="S43" s="713">
        <f t="shared" si="12"/>
        <v>100</v>
      </c>
      <c r="T43" s="712" t="s">
        <v>17</v>
      </c>
      <c r="U43" s="713">
        <f t="shared" si="13"/>
        <v>100</v>
      </c>
      <c r="V43" s="712" t="s">
        <v>17</v>
      </c>
      <c r="W43" s="713">
        <f t="shared" si="14"/>
        <v>100</v>
      </c>
      <c r="X43" s="1537"/>
      <c r="Y43" s="3328"/>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9"/>
      <c r="M44" s="2943"/>
      <c r="N44" s="2943"/>
      <c r="O44" s="2943"/>
      <c r="P44" s="3326"/>
      <c r="Q44" s="1534" t="str">
        <f t="shared" si="11"/>
        <v>内部装修维护情况</v>
      </c>
      <c r="R44" s="712" t="s">
        <v>17</v>
      </c>
      <c r="S44" s="713">
        <f t="shared" si="12"/>
        <v>100</v>
      </c>
      <c r="T44" s="712" t="s">
        <v>17</v>
      </c>
      <c r="U44" s="713">
        <f t="shared" si="13"/>
        <v>100</v>
      </c>
      <c r="V44" s="712" t="s">
        <v>17</v>
      </c>
      <c r="W44" s="713">
        <f t="shared" si="14"/>
        <v>100</v>
      </c>
      <c r="X44" s="1537"/>
      <c r="Y44" s="3328"/>
      <c r="Z44" s="1538" t="str">
        <f t="shared" si="15"/>
        <v>内部装修维护情况</v>
      </c>
      <c r="AA44" s="1535">
        <f t="shared" si="3"/>
        <v>1</v>
      </c>
      <c r="AB44" s="1535">
        <f t="shared" si="4"/>
        <v>1</v>
      </c>
      <c r="AC44" s="2146">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26"/>
      <c r="Q45" s="1525">
        <f t="shared" si="11"/>
        <v>111</v>
      </c>
      <c r="R45" s="708" t="s">
        <v>17</v>
      </c>
      <c r="S45" s="709">
        <f t="shared" si="12"/>
        <v>100</v>
      </c>
      <c r="T45" s="708" t="s">
        <v>17</v>
      </c>
      <c r="U45" s="709">
        <f t="shared" si="13"/>
        <v>100</v>
      </c>
      <c r="V45" s="708" t="s">
        <v>17</v>
      </c>
      <c r="W45" s="709">
        <f t="shared" si="14"/>
        <v>100</v>
      </c>
      <c r="X45" s="710"/>
      <c r="Y45" s="3328"/>
      <c r="Z45" s="55">
        <f t="shared" si="15"/>
        <v>111</v>
      </c>
      <c r="AA45" s="711">
        <f t="shared" si="3"/>
        <v>1</v>
      </c>
      <c r="AB45" s="711">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26"/>
      <c r="Q46" s="1534">
        <f t="shared" si="11"/>
        <v>111</v>
      </c>
      <c r="R46" s="712" t="s">
        <v>17</v>
      </c>
      <c r="S46" s="713">
        <f t="shared" si="12"/>
        <v>100</v>
      </c>
      <c r="T46" s="712" t="s">
        <v>17</v>
      </c>
      <c r="U46" s="713">
        <f t="shared" si="13"/>
        <v>100</v>
      </c>
      <c r="V46" s="712" t="s">
        <v>17</v>
      </c>
      <c r="W46" s="713">
        <f t="shared" si="14"/>
        <v>100</v>
      </c>
      <c r="X46" s="1537"/>
      <c r="Y46" s="3328"/>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27"/>
      <c r="Q47" s="1534">
        <f t="shared" si="11"/>
        <v>111</v>
      </c>
      <c r="R47" s="712" t="s">
        <v>17</v>
      </c>
      <c r="S47" s="713">
        <f t="shared" si="12"/>
        <v>100</v>
      </c>
      <c r="T47" s="712" t="s">
        <v>17</v>
      </c>
      <c r="U47" s="713">
        <f t="shared" si="13"/>
        <v>100</v>
      </c>
      <c r="V47" s="712" t="s">
        <v>17</v>
      </c>
      <c r="W47" s="713">
        <f t="shared" si="14"/>
        <v>100</v>
      </c>
      <c r="X47" s="1537"/>
      <c r="Y47" s="3329"/>
      <c r="Z47" s="1538">
        <f t="shared" si="15"/>
        <v>111</v>
      </c>
      <c r="AA47" s="1535">
        <f t="shared" si="3"/>
        <v>1</v>
      </c>
      <c r="AB47" s="1535">
        <f t="shared" si="4"/>
        <v>1</v>
      </c>
      <c r="AC47" s="2146">
        <f t="shared" si="5"/>
        <v>1</v>
      </c>
    </row>
    <row r="48" spans="1:29" ht="15">
      <c r="A48" s="437" t="s">
        <v>2398</v>
      </c>
      <c r="B48" s="438"/>
      <c r="C48" s="1314" t="s">
        <v>1</v>
      </c>
      <c r="D48" s="1315"/>
      <c r="E48" s="1316"/>
      <c r="F48" s="1317"/>
      <c r="G48" s="1318"/>
      <c r="H48" s="1319"/>
      <c r="I48" s="1316"/>
      <c r="J48" s="443"/>
      <c r="K48" s="721"/>
      <c r="L48" s="2951"/>
      <c r="M48" s="2943"/>
      <c r="N48" s="2943"/>
      <c r="O48" s="2943"/>
      <c r="P48" s="3303" t="str">
        <f>A48</f>
        <v>成交单价（元/平方米）</v>
      </c>
      <c r="Q48" s="3321"/>
      <c r="R48" s="3322">
        <f>E48</f>
        <v>0</v>
      </c>
      <c r="S48" s="3322"/>
      <c r="T48" s="3322">
        <f>G48</f>
        <v>0</v>
      </c>
      <c r="U48" s="3322"/>
      <c r="V48" s="3322">
        <f>I48</f>
        <v>0</v>
      </c>
      <c r="W48" s="3322"/>
      <c r="X48" s="404"/>
      <c r="Y48" s="719"/>
      <c r="Z48" s="404"/>
      <c r="AA48" s="404"/>
      <c r="AB48" s="404"/>
      <c r="AC48" s="584"/>
    </row>
    <row r="49" spans="1:29" ht="15.75" thickBot="1">
      <c r="A49" s="444" t="s">
        <v>2490</v>
      </c>
      <c r="B49" s="445"/>
      <c r="C49" s="1320" t="e">
        <f>R50</f>
        <v>#DIV/0!</v>
      </c>
      <c r="D49" s="2536" t="s">
        <v>2880</v>
      </c>
      <c r="E49" s="1321" t="e">
        <f>R49</f>
        <v>#DIV/0!</v>
      </c>
      <c r="F49" s="2537"/>
      <c r="G49" s="1320" t="e">
        <f>T49</f>
        <v>#DIV/0!</v>
      </c>
      <c r="H49" s="2537"/>
      <c r="I49" s="1321" t="e">
        <f>V49</f>
        <v>#DIV/0!</v>
      </c>
      <c r="J49" s="2537"/>
      <c r="K49" s="2539">
        <f>F49+H49+J49</f>
        <v>0</v>
      </c>
      <c r="L49" s="2951"/>
      <c r="M49" s="2943"/>
      <c r="N49" s="2943"/>
      <c r="O49" s="2943"/>
      <c r="P49" s="3303" t="str">
        <f>A49</f>
        <v>比较价值（元/平方米）</v>
      </c>
      <c r="Q49" s="3321"/>
      <c r="R49" s="3322" t="e">
        <f>IF(F1="售价",ROUND(PRODUCT(R48,AA7:AA47),0),ROUND(PRODUCT(R48,AA7:AA47),1))</f>
        <v>#DIV/0!</v>
      </c>
      <c r="S49" s="3322"/>
      <c r="T49" s="3322" t="e">
        <f>IF(F1="售价",ROUND(PRODUCT(T48,AB7:AB47),0),ROUND(PRODUCT(T48,AB7:AB47),1))</f>
        <v>#DIV/0!</v>
      </c>
      <c r="U49" s="3322"/>
      <c r="V49" s="3322" t="e">
        <f>IF(F1="售价",ROUND(PRODUCT(V48,AC7:AC47),0),ROUND(PRODUCT(V48,AC7:AC47),1))</f>
        <v>#DIV/0!</v>
      </c>
      <c r="W49" s="3322"/>
      <c r="X49" s="404"/>
      <c r="Y49" s="404"/>
      <c r="Z49" s="404"/>
      <c r="AA49" s="404"/>
      <c r="AB49" s="404"/>
      <c r="AC49" s="584"/>
    </row>
    <row r="50" spans="1:29" ht="15.75" thickBot="1">
      <c r="A50" s="448" t="s">
        <v>2491</v>
      </c>
      <c r="B50" s="449"/>
      <c r="C50" s="1323" t="e">
        <f>R50</f>
        <v>#DIV/0!</v>
      </c>
      <c r="D50" s="1323"/>
      <c r="E50" s="1323"/>
      <c r="F50" s="1323"/>
      <c r="G50" s="1323"/>
      <c r="H50" s="1323"/>
      <c r="I50" s="1323"/>
      <c r="J50" s="450"/>
      <c r="K50" s="722"/>
      <c r="L50" s="2951"/>
      <c r="M50" s="2943"/>
      <c r="N50" s="2943"/>
      <c r="O50" s="2943"/>
      <c r="P50" s="3346" t="str">
        <f>A50</f>
        <v>估价对象XX用房的比较价值（楼面单价，元/平方米）</v>
      </c>
      <c r="Q50" s="3347"/>
      <c r="R50" s="3348" t="e">
        <f>IF(F1="售价",ROUND(IF(D49="简单平均",AVERAGE(R49:V49),R49*F49+T49*H49+V49*J49),0),ROUND(IF(D49="简单平均",AVERAGE(R49:V49),R49*F49+T49*H49+V49*J49),1))</f>
        <v>#DIV/0!</v>
      </c>
      <c r="S50" s="3348"/>
      <c r="T50" s="3348"/>
      <c r="U50" s="3348"/>
      <c r="V50" s="3348"/>
      <c r="W50" s="3348"/>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1" t="s">
        <v>2495</v>
      </c>
      <c r="B58" s="697"/>
      <c r="C58" s="702"/>
      <c r="D58" s="702"/>
      <c r="E58" s="702"/>
      <c r="F58" s="703"/>
      <c r="G58" s="703"/>
      <c r="H58" s="702"/>
      <c r="I58" s="702"/>
      <c r="J58" s="702"/>
      <c r="K58" s="704"/>
      <c r="L58" s="1071"/>
      <c r="M58" s="1069"/>
      <c r="N58" s="2996"/>
      <c r="O58" s="2996"/>
      <c r="P58" s="2985"/>
      <c r="Q58" s="2966"/>
      <c r="R58" s="2952"/>
      <c r="S58" s="2952"/>
      <c r="T58" s="2952"/>
      <c r="U58" s="2952"/>
      <c r="V58" s="2952"/>
      <c r="W58" s="2952"/>
      <c r="X58" s="2952"/>
      <c r="Y58" s="2952"/>
      <c r="Z58" s="2952"/>
      <c r="AA58" s="2952"/>
      <c r="AB58" s="2952"/>
      <c r="AC58" s="2952"/>
    </row>
    <row r="59" spans="1:29" s="464" customFormat="1" ht="15">
      <c r="A59" s="461" t="s">
        <v>2369</v>
      </c>
      <c r="B59" s="462"/>
      <c r="C59" s="1344" t="str">
        <f>YEAR(C7)&amp;"-"&amp;MONTH(C7)</f>
        <v>2021-12</v>
      </c>
      <c r="D59" s="1345">
        <f>EDATE(C59,-1)</f>
        <v>44501</v>
      </c>
      <c r="E59" s="1345">
        <f>EDATE(D59,-1)</f>
        <v>44470</v>
      </c>
      <c r="F59" s="1345">
        <f t="shared" ref="F59:O59" si="16">EDATE(E59,-1)</f>
        <v>44440</v>
      </c>
      <c r="G59" s="1345">
        <f t="shared" si="16"/>
        <v>44409</v>
      </c>
      <c r="H59" s="1345">
        <f t="shared" si="16"/>
        <v>44378</v>
      </c>
      <c r="I59" s="1345">
        <f t="shared" si="16"/>
        <v>44348</v>
      </c>
      <c r="J59" s="1345">
        <f t="shared" si="16"/>
        <v>44317</v>
      </c>
      <c r="K59" s="1345">
        <f t="shared" si="16"/>
        <v>44287</v>
      </c>
      <c r="L59" s="1345">
        <f t="shared" si="16"/>
        <v>44256</v>
      </c>
      <c r="M59" s="1345">
        <f t="shared" si="16"/>
        <v>44228</v>
      </c>
      <c r="N59" s="1345">
        <f t="shared" si="16"/>
        <v>44197</v>
      </c>
      <c r="O59" s="1345">
        <f t="shared" si="16"/>
        <v>44166</v>
      </c>
      <c r="P59" s="2986"/>
      <c r="Q59" s="2968"/>
      <c r="R59" s="2968"/>
      <c r="S59" s="2968"/>
      <c r="T59" s="2968"/>
      <c r="U59" s="2968"/>
      <c r="V59" s="2968"/>
      <c r="W59" s="2968"/>
      <c r="X59" s="2968"/>
      <c r="Y59" s="2968"/>
      <c r="Z59" s="2968"/>
      <c r="AA59" s="2968"/>
      <c r="AB59" s="2968"/>
      <c r="AC59" s="2968"/>
    </row>
    <row r="60" spans="1:29" s="113"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3" customFormat="1" ht="15.75" thickBot="1">
      <c r="A61" s="471" t="s">
        <v>2406</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3" customFormat="1" ht="15">
      <c r="A62" s="477" t="s">
        <v>2371</v>
      </c>
      <c r="B62" s="466"/>
      <c r="C62" s="478" t="s">
        <v>2473</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2409</v>
      </c>
      <c r="B64" s="484" t="s">
        <v>2375</v>
      </c>
      <c r="C64" s="485">
        <f>C9</f>
        <v>0</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c r="D69" s="505"/>
      <c r="E69" s="505"/>
      <c r="F69" s="505"/>
      <c r="G69" s="505"/>
      <c r="H69" s="505"/>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2380</v>
      </c>
      <c r="B77" s="484" t="s">
        <v>2518</v>
      </c>
      <c r="C77" s="529" t="s">
        <v>2418</v>
      </c>
      <c r="D77" s="529" t="s">
        <v>2419</v>
      </c>
      <c r="E77" s="529" t="s">
        <v>2420</v>
      </c>
      <c r="F77" s="529" t="s">
        <v>2421</v>
      </c>
      <c r="G77" s="529" t="s">
        <v>2422</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2423</v>
      </c>
      <c r="C79" s="534" t="s">
        <v>2418</v>
      </c>
      <c r="D79" s="534" t="s">
        <v>2419</v>
      </c>
      <c r="E79" s="534" t="s">
        <v>2420</v>
      </c>
      <c r="F79" s="534" t="s">
        <v>2421</v>
      </c>
      <c r="G79" s="534" t="s">
        <v>2422</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2424</v>
      </c>
      <c r="C81" s="534" t="s">
        <v>2418</v>
      </c>
      <c r="D81" s="534" t="s">
        <v>2419</v>
      </c>
      <c r="E81" s="534" t="s">
        <v>2420</v>
      </c>
      <c r="F81" s="534" t="s">
        <v>2421</v>
      </c>
      <c r="G81" s="534" t="s">
        <v>2422</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2510</v>
      </c>
      <c r="C83" s="614" t="s">
        <v>2496</v>
      </c>
      <c r="D83" s="614" t="s">
        <v>2497</v>
      </c>
      <c r="E83" s="614" t="s">
        <v>2498</v>
      </c>
      <c r="F83" s="614" t="s">
        <v>2499</v>
      </c>
      <c r="G83" s="614" t="s">
        <v>2500</v>
      </c>
      <c r="H83" s="495"/>
      <c r="I83" s="495"/>
      <c r="J83" s="495"/>
      <c r="K83" s="495"/>
      <c r="L83" s="495"/>
      <c r="M83" s="1289"/>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2519</v>
      </c>
      <c r="C85" s="534" t="s">
        <v>2418</v>
      </c>
      <c r="D85" s="534" t="s">
        <v>2419</v>
      </c>
      <c r="E85" s="534" t="s">
        <v>2420</v>
      </c>
      <c r="F85" s="534" t="s">
        <v>2421</v>
      </c>
      <c r="G85" s="534" t="s">
        <v>2422</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3" customFormat="1" ht="27.75" thickTop="1">
      <c r="A87" s="535"/>
      <c r="B87" s="494" t="s">
        <v>2520</v>
      </c>
      <c r="C87" s="510"/>
      <c r="D87" s="510"/>
      <c r="E87" s="510"/>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5"/>
      <c r="B89" s="494" t="str">
        <f>B27</f>
        <v>楼层</v>
      </c>
      <c r="C89" s="510"/>
      <c r="D89" s="510"/>
      <c r="E89" s="510"/>
      <c r="F89" s="2111"/>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2"/>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2384</v>
      </c>
      <c r="B101" s="484" t="s">
        <v>2433</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c r="D104" s="551"/>
      <c r="E104" s="551"/>
      <c r="F104" s="551"/>
      <c r="G104" s="551"/>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c r="D105" s="492"/>
      <c r="E105" s="492"/>
      <c r="F105" s="492"/>
      <c r="G105" s="492"/>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2435</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2437</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7"/>
      <c r="J111" s="577"/>
      <c r="K111" s="578"/>
      <c r="L111" s="579"/>
      <c r="M111" s="580"/>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2521</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2438</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2439</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0" t="s">
        <v>2522</v>
      </c>
      <c r="C119" s="539"/>
      <c r="D119" s="539"/>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2505</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2441</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5"/>
      <c r="D2" s="1036" t="e">
        <f ca="1">SUMIF(INDIRECT("'"&amp;F2&amp;"'"&amp;"!A:A"),"承租人权益价值",INDIRECT("'"&amp;F2&amp;"'"&amp;"!c:c"))</f>
        <v>#REF!</v>
      </c>
      <c r="E2" s="2066" t="s">
        <v>2149</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2150</v>
      </c>
      <c r="B3" s="565" t="e">
        <f ca="1">IF(C2="——",C43,ROUND(B2*10000/D3,0))</f>
        <v>#DIV/0!</v>
      </c>
      <c r="C3" s="359" t="s">
        <v>2465</v>
      </c>
      <c r="D3" s="358">
        <f>IF(D1="",'数据-汇总表'!E3,SUMIF('数据-汇总表'!$C19:$C33,D1,'数据-汇总表'!$E19:$E33))</f>
        <v>27173.91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2466</v>
      </c>
      <c r="B4" s="361"/>
      <c r="C4" s="3304" t="s">
        <v>2467</v>
      </c>
      <c r="D4" s="3305"/>
      <c r="E4" s="3306" t="s">
        <v>2468</v>
      </c>
      <c r="F4" s="3307"/>
      <c r="G4" s="3304" t="s">
        <v>2469</v>
      </c>
      <c r="H4" s="3305"/>
      <c r="I4" s="3304" t="s">
        <v>2470</v>
      </c>
      <c r="J4" s="3305"/>
      <c r="K4" s="566" t="s">
        <v>2471</v>
      </c>
      <c r="L4" s="1042"/>
      <c r="M4" s="1043"/>
      <c r="N4" s="1043"/>
      <c r="O4" s="1043"/>
      <c r="P4" s="3308" t="s">
        <v>2472</v>
      </c>
      <c r="Q4" s="3309"/>
      <c r="R4" s="3291" t="s">
        <v>2468</v>
      </c>
      <c r="S4" s="3292"/>
      <c r="T4" s="3291" t="s">
        <v>2469</v>
      </c>
      <c r="U4" s="3292"/>
      <c r="V4" s="3316" t="s">
        <v>2470</v>
      </c>
      <c r="W4" s="3316"/>
      <c r="X4" s="1537"/>
      <c r="Y4" s="3291" t="s">
        <v>2472</v>
      </c>
      <c r="Z4" s="3292"/>
      <c r="AA4" s="3286" t="s">
        <v>2468</v>
      </c>
      <c r="AB4" s="3287" t="s">
        <v>2469</v>
      </c>
      <c r="AC4" s="3286" t="s">
        <v>2470</v>
      </c>
    </row>
    <row r="5" spans="1:29" ht="15">
      <c r="A5" s="363"/>
      <c r="B5" s="364"/>
      <c r="C5" s="3297" t="s">
        <v>2363</v>
      </c>
      <c r="D5" s="3298"/>
      <c r="E5" s="3295" t="s">
        <v>2364</v>
      </c>
      <c r="F5" s="3296"/>
      <c r="G5" s="3297" t="s">
        <v>2365</v>
      </c>
      <c r="H5" s="3298"/>
      <c r="I5" s="3297" t="s">
        <v>2366</v>
      </c>
      <c r="J5" s="3298"/>
      <c r="K5" s="566"/>
      <c r="L5" s="1042"/>
      <c r="M5" s="1043"/>
      <c r="N5" s="1043"/>
      <c r="O5" s="1043"/>
      <c r="P5" s="3310"/>
      <c r="Q5" s="3311"/>
      <c r="R5" s="3293"/>
      <c r="S5" s="3294"/>
      <c r="T5" s="3293"/>
      <c r="U5" s="3294"/>
      <c r="V5" s="3316"/>
      <c r="W5" s="3316"/>
      <c r="X5" s="1537"/>
      <c r="Y5" s="3293"/>
      <c r="Z5" s="3294"/>
      <c r="AA5" s="3287"/>
      <c r="AB5" s="3287"/>
      <c r="AC5" s="3287"/>
    </row>
    <row r="6" spans="1:29" ht="15.75" thickBot="1">
      <c r="A6" s="365"/>
      <c r="B6" s="366"/>
      <c r="C6" s="3299" t="s">
        <v>2367</v>
      </c>
      <c r="D6" s="3300"/>
      <c r="E6" s="3301" t="s">
        <v>2367</v>
      </c>
      <c r="F6" s="3302"/>
      <c r="G6" s="3299" t="s">
        <v>2367</v>
      </c>
      <c r="H6" s="3300"/>
      <c r="I6" s="3299" t="s">
        <v>2367</v>
      </c>
      <c r="J6" s="3300"/>
      <c r="K6" s="566" t="s">
        <v>2368</v>
      </c>
      <c r="L6" s="1042"/>
      <c r="M6" s="1043"/>
      <c r="N6" s="1043"/>
      <c r="O6" s="1043"/>
      <c r="P6" s="3312"/>
      <c r="Q6" s="3313"/>
      <c r="R6" s="3293"/>
      <c r="S6" s="3294"/>
      <c r="T6" s="3314"/>
      <c r="U6" s="3315"/>
      <c r="V6" s="3316"/>
      <c r="W6" s="3316"/>
      <c r="X6" s="1537"/>
      <c r="Y6" s="3314"/>
      <c r="Z6" s="3315"/>
      <c r="AA6" s="3288"/>
      <c r="AB6" s="3288"/>
      <c r="AC6" s="3288"/>
    </row>
    <row r="7" spans="1:29" s="113" customFormat="1" ht="15.75" thickBot="1">
      <c r="A7" s="367" t="s">
        <v>2369</v>
      </c>
      <c r="B7" s="368"/>
      <c r="C7" s="369">
        <f>'数据-取费表'!B2</f>
        <v>44544</v>
      </c>
      <c r="D7" s="370">
        <v>100</v>
      </c>
      <c r="E7" s="371"/>
      <c r="F7" s="372">
        <f>SUMIF(52:52,YEAR(E7)&amp;"-"&amp;MONTH(E7),53:53)</f>
        <v>0</v>
      </c>
      <c r="G7" s="371"/>
      <c r="H7" s="370">
        <f>SUMIF(52:52,YEAR(G7)&amp;"-"&amp;MONTH(G7),53:53)</f>
        <v>0</v>
      </c>
      <c r="I7" s="371"/>
      <c r="J7" s="370">
        <f>SUMIF(52:52,YEAR(I7)&amp;"-"&amp;MONTH(I7),53:53)</f>
        <v>0</v>
      </c>
      <c r="K7" s="567"/>
      <c r="L7" s="1044"/>
      <c r="M7" s="1045"/>
      <c r="N7" s="1045"/>
      <c r="O7" s="1045"/>
      <c r="P7" s="3289" t="s">
        <v>2370</v>
      </c>
      <c r="Q7" s="3317"/>
      <c r="R7" s="708" t="s">
        <v>17</v>
      </c>
      <c r="S7" s="709">
        <f t="shared" ref="S7:S15" si="0">F7</f>
        <v>0</v>
      </c>
      <c r="T7" s="708" t="s">
        <v>17</v>
      </c>
      <c r="U7" s="709">
        <f t="shared" ref="U7:U15" si="1">H7</f>
        <v>0</v>
      </c>
      <c r="V7" s="708" t="s">
        <v>17</v>
      </c>
      <c r="W7" s="709">
        <f t="shared" ref="W7:W15" si="2">J7</f>
        <v>0</v>
      </c>
      <c r="X7" s="710"/>
      <c r="Y7" s="3289" t="s">
        <v>2370</v>
      </c>
      <c r="Z7" s="3290"/>
      <c r="AA7" s="711" t="e">
        <f>D7/F7</f>
        <v>#DIV/0!</v>
      </c>
      <c r="AB7" s="711" t="e">
        <f>D7/H7</f>
        <v>#DIV/0!</v>
      </c>
      <c r="AC7" s="711"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289" t="s">
        <v>2373</v>
      </c>
      <c r="Q8" s="3290"/>
      <c r="R8" s="708" t="s">
        <v>17</v>
      </c>
      <c r="S8" s="709">
        <f t="shared" si="0"/>
        <v>0</v>
      </c>
      <c r="T8" s="708" t="s">
        <v>17</v>
      </c>
      <c r="U8" s="709">
        <f t="shared" si="1"/>
        <v>0</v>
      </c>
      <c r="V8" s="708" t="s">
        <v>17</v>
      </c>
      <c r="W8" s="709">
        <f t="shared" si="2"/>
        <v>0</v>
      </c>
      <c r="X8" s="710"/>
      <c r="Y8" s="3289" t="s">
        <v>2373</v>
      </c>
      <c r="Z8" s="3290"/>
      <c r="AA8" s="711" t="e">
        <f t="shared" ref="AA8:AA40" si="3">D8/F8</f>
        <v>#DIV/0!</v>
      </c>
      <c r="AB8" s="711" t="e">
        <f t="shared" ref="AB8:AB40" si="4">D8/H8</f>
        <v>#DIV/0!</v>
      </c>
      <c r="AC8" s="711"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21" t="s">
        <v>2376</v>
      </c>
      <c r="Q9" s="1525" t="str">
        <f t="shared" ref="Q9:Q15" si="6">B9</f>
        <v>用途</v>
      </c>
      <c r="R9" s="708" t="s">
        <v>17</v>
      </c>
      <c r="S9" s="709">
        <f t="shared" si="0"/>
        <v>100</v>
      </c>
      <c r="T9" s="708" t="s">
        <v>17</v>
      </c>
      <c r="U9" s="709">
        <f t="shared" si="1"/>
        <v>100</v>
      </c>
      <c r="V9" s="708" t="s">
        <v>17</v>
      </c>
      <c r="W9" s="709">
        <f t="shared" si="2"/>
        <v>100</v>
      </c>
      <c r="X9" s="710"/>
      <c r="Y9" s="3231" t="s">
        <v>2377</v>
      </c>
      <c r="Z9" s="55" t="str">
        <f t="shared" ref="Z9:Z15" si="7">Q9</f>
        <v>用途</v>
      </c>
      <c r="AA9" s="711">
        <f t="shared" si="3"/>
        <v>1</v>
      </c>
      <c r="AB9" s="711">
        <f t="shared" si="4"/>
        <v>1</v>
      </c>
      <c r="AC9" s="711">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21"/>
      <c r="Q10" s="1525" t="str">
        <f t="shared" si="6"/>
        <v>土地使用年限（年）</v>
      </c>
      <c r="R10" s="708" t="s">
        <v>17</v>
      </c>
      <c r="S10" s="709">
        <f t="shared" si="0"/>
        <v>100</v>
      </c>
      <c r="T10" s="708" t="s">
        <v>17</v>
      </c>
      <c r="U10" s="709">
        <f t="shared" si="1"/>
        <v>100</v>
      </c>
      <c r="V10" s="708" t="s">
        <v>17</v>
      </c>
      <c r="W10" s="709">
        <f t="shared" si="2"/>
        <v>100</v>
      </c>
      <c r="X10" s="710"/>
      <c r="Y10" s="3231"/>
      <c r="Z10" s="55" t="str">
        <f t="shared" si="7"/>
        <v>土地使用年限（年）</v>
      </c>
      <c r="AA10" s="711">
        <f t="shared" si="3"/>
        <v>1</v>
      </c>
      <c r="AB10" s="711">
        <f t="shared" si="4"/>
        <v>1</v>
      </c>
      <c r="AC10" s="711">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21"/>
      <c r="Q11" s="1525" t="str">
        <f t="shared" si="6"/>
        <v>容积率</v>
      </c>
      <c r="R11" s="708" t="s">
        <v>17</v>
      </c>
      <c r="S11" s="709" t="e">
        <f t="shared" si="0"/>
        <v>#N/A</v>
      </c>
      <c r="T11" s="708" t="s">
        <v>17</v>
      </c>
      <c r="U11" s="709" t="e">
        <f t="shared" si="1"/>
        <v>#N/A</v>
      </c>
      <c r="V11" s="708" t="s">
        <v>17</v>
      </c>
      <c r="W11" s="709" t="e">
        <f t="shared" si="2"/>
        <v>#N/A</v>
      </c>
      <c r="X11" s="710"/>
      <c r="Y11" s="3231"/>
      <c r="Z11" s="55" t="str">
        <f t="shared" si="7"/>
        <v>容积率</v>
      </c>
      <c r="AA11" s="711" t="e">
        <f t="shared" si="3"/>
        <v>#N/A</v>
      </c>
      <c r="AB11" s="711" t="e">
        <f t="shared" si="4"/>
        <v>#N/A</v>
      </c>
      <c r="AC11" s="711" t="e">
        <f t="shared" si="5"/>
        <v>#N/A</v>
      </c>
    </row>
    <row r="12" spans="1:29" s="113"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4"/>
      <c r="M12" s="1045"/>
      <c r="N12" s="1045"/>
      <c r="O12" s="1046"/>
      <c r="P12" s="3321"/>
      <c r="Q12" s="1525">
        <f t="shared" si="6"/>
        <v>111</v>
      </c>
      <c r="R12" s="708" t="s">
        <v>17</v>
      </c>
      <c r="S12" s="709">
        <f t="shared" si="0"/>
        <v>100</v>
      </c>
      <c r="T12" s="708" t="s">
        <v>17</v>
      </c>
      <c r="U12" s="709">
        <f t="shared" si="1"/>
        <v>100</v>
      </c>
      <c r="V12" s="708" t="s">
        <v>17</v>
      </c>
      <c r="W12" s="709">
        <f t="shared" si="2"/>
        <v>100</v>
      </c>
      <c r="X12" s="710"/>
      <c r="Y12" s="3231"/>
      <c r="Z12" s="55">
        <f t="shared" si="7"/>
        <v>111</v>
      </c>
      <c r="AA12" s="711">
        <f>D12/F12</f>
        <v>1</v>
      </c>
      <c r="AB12" s="711">
        <f>D12/H12</f>
        <v>1</v>
      </c>
      <c r="AC12" s="711">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2"/>
      <c r="M13" s="1043"/>
      <c r="N13" s="1043"/>
      <c r="O13" s="1051"/>
      <c r="P13" s="3321"/>
      <c r="Q13" s="1525">
        <f t="shared" si="6"/>
        <v>111</v>
      </c>
      <c r="R13" s="708" t="s">
        <v>17</v>
      </c>
      <c r="S13" s="709">
        <f t="shared" si="0"/>
        <v>100</v>
      </c>
      <c r="T13" s="708" t="s">
        <v>17</v>
      </c>
      <c r="U13" s="709">
        <f t="shared" si="1"/>
        <v>100</v>
      </c>
      <c r="V13" s="708" t="s">
        <v>17</v>
      </c>
      <c r="W13" s="709">
        <f t="shared" si="2"/>
        <v>100</v>
      </c>
      <c r="X13" s="710"/>
      <c r="Y13" s="3231"/>
      <c r="Z13" s="55">
        <f t="shared" si="7"/>
        <v>111</v>
      </c>
      <c r="AA13" s="711">
        <f t="shared" si="3"/>
        <v>1</v>
      </c>
      <c r="AB13" s="711">
        <f t="shared" si="4"/>
        <v>1</v>
      </c>
      <c r="AC13" s="711">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2"/>
      <c r="M14" s="1043"/>
      <c r="N14" s="1043"/>
      <c r="O14" s="1051"/>
      <c r="P14" s="3321"/>
      <c r="Q14" s="1525">
        <f t="shared" si="6"/>
        <v>111</v>
      </c>
      <c r="R14" s="708" t="s">
        <v>17</v>
      </c>
      <c r="S14" s="709">
        <f t="shared" si="0"/>
        <v>100</v>
      </c>
      <c r="T14" s="708" t="s">
        <v>17</v>
      </c>
      <c r="U14" s="709">
        <f t="shared" si="1"/>
        <v>100</v>
      </c>
      <c r="V14" s="708" t="s">
        <v>17</v>
      </c>
      <c r="W14" s="709">
        <f t="shared" si="2"/>
        <v>100</v>
      </c>
      <c r="X14" s="710"/>
      <c r="Y14" s="3231"/>
      <c r="Z14" s="55">
        <f t="shared" si="7"/>
        <v>111</v>
      </c>
      <c r="AA14" s="711">
        <f t="shared" si="3"/>
        <v>1</v>
      </c>
      <c r="AB14" s="711">
        <f t="shared" si="4"/>
        <v>1</v>
      </c>
      <c r="AC14" s="711">
        <f t="shared" si="5"/>
        <v>1</v>
      </c>
    </row>
    <row r="15" spans="1:29" ht="15">
      <c r="A15" s="398" t="s">
        <v>2380</v>
      </c>
      <c r="B15" s="65" t="s">
        <v>2524</v>
      </c>
      <c r="C15" s="2155">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23" t="s">
        <v>2381</v>
      </c>
      <c r="Q15" s="1534" t="str">
        <f t="shared" si="6"/>
        <v>产业集聚程度</v>
      </c>
      <c r="R15" s="712" t="s">
        <v>17</v>
      </c>
      <c r="S15" s="713">
        <f t="shared" si="0"/>
        <v>100</v>
      </c>
      <c r="T15" s="712" t="s">
        <v>17</v>
      </c>
      <c r="U15" s="713">
        <f t="shared" si="1"/>
        <v>100</v>
      </c>
      <c r="V15" s="712" t="s">
        <v>17</v>
      </c>
      <c r="W15" s="713">
        <f t="shared" si="2"/>
        <v>100</v>
      </c>
      <c r="X15" s="1537"/>
      <c r="Y15" s="3323"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2"/>
      <c r="M16" s="1043"/>
      <c r="N16" s="1043"/>
      <c r="O16" s="1051"/>
      <c r="P16" s="3324"/>
      <c r="Q16" s="1534"/>
      <c r="R16" s="712"/>
      <c r="S16" s="713"/>
      <c r="T16" s="712"/>
      <c r="U16" s="713"/>
      <c r="V16" s="712"/>
      <c r="W16" s="713"/>
      <c r="X16" s="1537"/>
      <c r="Y16" s="3324"/>
      <c r="Z16" s="1538"/>
      <c r="AA16" s="1535">
        <v>1</v>
      </c>
      <c r="AB16" s="1535">
        <v>1</v>
      </c>
      <c r="AC16" s="1535">
        <v>1</v>
      </c>
    </row>
    <row r="17" spans="1:29" ht="15">
      <c r="A17" s="386"/>
      <c r="B17" s="409" t="s">
        <v>1945</v>
      </c>
      <c r="C17" s="2084">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24"/>
      <c r="Q17" s="1534" t="str">
        <f>B17</f>
        <v>交通便捷度</v>
      </c>
      <c r="R17" s="712" t="s">
        <v>17</v>
      </c>
      <c r="S17" s="713">
        <f>F17</f>
        <v>100</v>
      </c>
      <c r="T17" s="712" t="s">
        <v>17</v>
      </c>
      <c r="U17" s="713">
        <f>H17</f>
        <v>100</v>
      </c>
      <c r="V17" s="712" t="s">
        <v>17</v>
      </c>
      <c r="W17" s="713">
        <f>J17</f>
        <v>100</v>
      </c>
      <c r="X17" s="1537"/>
      <c r="Y17" s="3324"/>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2"/>
      <c r="M18" s="1043"/>
      <c r="N18" s="1043"/>
      <c r="O18" s="1051"/>
      <c r="P18" s="3324"/>
      <c r="Q18" s="1534"/>
      <c r="R18" s="712"/>
      <c r="S18" s="713"/>
      <c r="T18" s="712"/>
      <c r="U18" s="713"/>
      <c r="V18" s="712"/>
      <c r="W18" s="713"/>
      <c r="X18" s="1537"/>
      <c r="Y18" s="3324"/>
      <c r="Z18" s="1538"/>
      <c r="AA18" s="1535">
        <v>1</v>
      </c>
      <c r="AB18" s="1535">
        <v>1</v>
      </c>
      <c r="AC18" s="1535">
        <v>1</v>
      </c>
    </row>
    <row r="19" spans="1:29" ht="15">
      <c r="A19" s="386"/>
      <c r="B19" s="409" t="s">
        <v>2509</v>
      </c>
      <c r="C19" s="2084">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24"/>
      <c r="Q19" s="1534" t="str">
        <f>B19</f>
        <v>公共配套设施</v>
      </c>
      <c r="R19" s="712" t="s">
        <v>17</v>
      </c>
      <c r="S19" s="713">
        <f>F19</f>
        <v>100</v>
      </c>
      <c r="T19" s="712" t="s">
        <v>17</v>
      </c>
      <c r="U19" s="713">
        <f>H19</f>
        <v>100</v>
      </c>
      <c r="V19" s="712" t="s">
        <v>17</v>
      </c>
      <c r="W19" s="713">
        <f>J19</f>
        <v>100</v>
      </c>
      <c r="X19" s="1537"/>
      <c r="Y19" s="3324"/>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2"/>
      <c r="M20" s="1043"/>
      <c r="N20" s="1043"/>
      <c r="O20" s="1051"/>
      <c r="P20" s="3324"/>
      <c r="Q20" s="1534"/>
      <c r="R20" s="712"/>
      <c r="S20" s="713"/>
      <c r="T20" s="712"/>
      <c r="U20" s="713"/>
      <c r="V20" s="712"/>
      <c r="W20" s="713"/>
      <c r="X20" s="1537"/>
      <c r="Y20" s="3324"/>
      <c r="Z20" s="1538"/>
      <c r="AA20" s="1535">
        <v>1</v>
      </c>
      <c r="AB20" s="1535">
        <v>1</v>
      </c>
      <c r="AC20" s="1535">
        <v>1</v>
      </c>
    </row>
    <row r="21" spans="1:29" ht="15">
      <c r="A21" s="386"/>
      <c r="B21" s="1291" t="s">
        <v>2510</v>
      </c>
      <c r="C21" s="2084">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24"/>
      <c r="Q21" s="1534" t="str">
        <f>B21</f>
        <v>基础设施水平</v>
      </c>
      <c r="R21" s="712" t="s">
        <v>17</v>
      </c>
      <c r="S21" s="713">
        <f>F21</f>
        <v>100</v>
      </c>
      <c r="T21" s="712" t="s">
        <v>17</v>
      </c>
      <c r="U21" s="713">
        <f>H21</f>
        <v>100</v>
      </c>
      <c r="V21" s="712" t="s">
        <v>17</v>
      </c>
      <c r="W21" s="713">
        <f>J21</f>
        <v>100</v>
      </c>
      <c r="X21" s="1537"/>
      <c r="Y21" s="3324"/>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2"/>
      <c r="M22" s="1043"/>
      <c r="N22" s="1043"/>
      <c r="O22" s="1051"/>
      <c r="P22" s="3324"/>
      <c r="Q22" s="1534"/>
      <c r="R22" s="712"/>
      <c r="S22" s="713"/>
      <c r="T22" s="712"/>
      <c r="U22" s="713"/>
      <c r="V22" s="712"/>
      <c r="W22" s="713"/>
      <c r="X22" s="1537"/>
      <c r="Y22" s="3324"/>
      <c r="Z22" s="1538"/>
      <c r="AA22" s="1535">
        <v>1</v>
      </c>
      <c r="AB22" s="1535">
        <v>1</v>
      </c>
      <c r="AC22" s="1535">
        <v>1</v>
      </c>
    </row>
    <row r="23" spans="1:29" ht="15">
      <c r="A23" s="386"/>
      <c r="B23" s="409" t="s">
        <v>2511</v>
      </c>
      <c r="C23" s="2084">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24"/>
      <c r="Q23" s="1534" t="str">
        <f>B23</f>
        <v>环境质量</v>
      </c>
      <c r="R23" s="712" t="s">
        <v>17</v>
      </c>
      <c r="S23" s="713">
        <f>F23</f>
        <v>100</v>
      </c>
      <c r="T23" s="712" t="s">
        <v>17</v>
      </c>
      <c r="U23" s="713">
        <f>H23</f>
        <v>100</v>
      </c>
      <c r="V23" s="712" t="s">
        <v>17</v>
      </c>
      <c r="W23" s="713">
        <f>J23</f>
        <v>100</v>
      </c>
      <c r="X23" s="1537"/>
      <c r="Y23" s="3324"/>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2"/>
      <c r="M24" s="1043"/>
      <c r="N24" s="1043"/>
      <c r="O24" s="1051"/>
      <c r="P24" s="3324"/>
      <c r="Q24" s="1534"/>
      <c r="R24" s="712"/>
      <c r="S24" s="713"/>
      <c r="T24" s="712"/>
      <c r="U24" s="713"/>
      <c r="V24" s="712"/>
      <c r="W24" s="713"/>
      <c r="X24" s="1537"/>
      <c r="Y24" s="3324"/>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24"/>
      <c r="Q25" s="1534">
        <f>B25</f>
        <v>111</v>
      </c>
      <c r="R25" s="712" t="s">
        <v>17</v>
      </c>
      <c r="S25" s="713">
        <f>F25</f>
        <v>100</v>
      </c>
      <c r="T25" s="712" t="s">
        <v>17</v>
      </c>
      <c r="U25" s="713">
        <f>H25</f>
        <v>100</v>
      </c>
      <c r="V25" s="712" t="s">
        <v>17</v>
      </c>
      <c r="W25" s="713">
        <f>J25</f>
        <v>100</v>
      </c>
      <c r="X25" s="1537"/>
      <c r="Y25" s="3324"/>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24"/>
      <c r="Q26" s="1534">
        <f t="shared" ref="Q26:Q40" si="11">B26</f>
        <v>111</v>
      </c>
      <c r="R26" s="712" t="s">
        <v>17</v>
      </c>
      <c r="S26" s="713">
        <f>F26</f>
        <v>100</v>
      </c>
      <c r="T26" s="712" t="s">
        <v>17</v>
      </c>
      <c r="U26" s="713">
        <f>H26</f>
        <v>100</v>
      </c>
      <c r="V26" s="712" t="s">
        <v>17</v>
      </c>
      <c r="W26" s="713">
        <f>J26</f>
        <v>100</v>
      </c>
      <c r="X26" s="1537"/>
      <c r="Y26" s="3324"/>
      <c r="Z26" s="1538">
        <f>Q26</f>
        <v>111</v>
      </c>
      <c r="AA26" s="1535">
        <f t="shared" si="3"/>
        <v>1</v>
      </c>
      <c r="AB26" s="1535">
        <f t="shared" si="4"/>
        <v>1</v>
      </c>
      <c r="AC26" s="1535">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24"/>
      <c r="Q27" s="1525">
        <f t="shared" si="11"/>
        <v>111</v>
      </c>
      <c r="R27" s="708" t="s">
        <v>17</v>
      </c>
      <c r="S27" s="709">
        <f>F27</f>
        <v>100</v>
      </c>
      <c r="T27" s="708" t="s">
        <v>17</v>
      </c>
      <c r="U27" s="709">
        <f>H27</f>
        <v>100</v>
      </c>
      <c r="V27" s="708" t="s">
        <v>17</v>
      </c>
      <c r="W27" s="709">
        <f>J27</f>
        <v>100</v>
      </c>
      <c r="X27" s="710"/>
      <c r="Y27" s="3324"/>
      <c r="Z27" s="55">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24"/>
      <c r="Q28" s="1534">
        <f t="shared" si="11"/>
        <v>111</v>
      </c>
      <c r="R28" s="712" t="s">
        <v>17</v>
      </c>
      <c r="S28" s="713">
        <f t="shared" ref="S28:S40" si="12">F28</f>
        <v>100</v>
      </c>
      <c r="T28" s="712" t="s">
        <v>17</v>
      </c>
      <c r="U28" s="713">
        <f t="shared" ref="U28:U40" si="13">H28</f>
        <v>100</v>
      </c>
      <c r="V28" s="712" t="s">
        <v>17</v>
      </c>
      <c r="W28" s="713">
        <f t="shared" ref="W28:W40" si="14">J28</f>
        <v>100</v>
      </c>
      <c r="X28" s="1537"/>
      <c r="Y28" s="3324"/>
      <c r="Z28" s="1538">
        <f t="shared" ref="Z28:Z40" si="15">Q28</f>
        <v>111</v>
      </c>
      <c r="AA28" s="1535">
        <f t="shared" si="3"/>
        <v>1</v>
      </c>
      <c r="AB28" s="1535">
        <f t="shared" si="4"/>
        <v>1</v>
      </c>
      <c r="AC28" s="1535">
        <f t="shared" si="5"/>
        <v>1</v>
      </c>
    </row>
    <row r="29" spans="1:29" ht="28.5">
      <c r="A29" s="424" t="s">
        <v>2384</v>
      </c>
      <c r="B29" s="67"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2"/>
      <c r="M29" s="1043"/>
      <c r="N29" s="1043"/>
      <c r="O29" s="1051"/>
      <c r="P29" s="3349" t="s">
        <v>2386</v>
      </c>
      <c r="Q29" s="1534" t="str">
        <f t="shared" si="11"/>
        <v>建筑类型</v>
      </c>
      <c r="R29" s="712" t="s">
        <v>17</v>
      </c>
      <c r="S29" s="713">
        <f t="shared" si="12"/>
        <v>100</v>
      </c>
      <c r="T29" s="712" t="s">
        <v>17</v>
      </c>
      <c r="U29" s="713">
        <f t="shared" si="13"/>
        <v>100</v>
      </c>
      <c r="V29" s="712" t="s">
        <v>17</v>
      </c>
      <c r="W29" s="713">
        <f t="shared" si="14"/>
        <v>100</v>
      </c>
      <c r="X29" s="1537"/>
      <c r="Y29" s="3328"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28"/>
      <c r="Q30" s="714" t="str">
        <f t="shared" si="11"/>
        <v>项目建筑规模</v>
      </c>
      <c r="R30" s="715" t="s">
        <v>17</v>
      </c>
      <c r="S30" s="716" t="e">
        <f t="shared" si="12"/>
        <v>#N/A</v>
      </c>
      <c r="T30" s="715" t="s">
        <v>17</v>
      </c>
      <c r="U30" s="716" t="e">
        <f t="shared" si="13"/>
        <v>#N/A</v>
      </c>
      <c r="V30" s="715" t="s">
        <v>17</v>
      </c>
      <c r="W30" s="716" t="e">
        <f t="shared" si="14"/>
        <v>#N/A</v>
      </c>
      <c r="X30" s="717"/>
      <c r="Y30" s="3328"/>
      <c r="Z30" s="718"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28"/>
      <c r="Q31" s="1534" t="str">
        <f t="shared" si="11"/>
        <v>建筑结构</v>
      </c>
      <c r="R31" s="712" t="s">
        <v>17</v>
      </c>
      <c r="S31" s="713">
        <f t="shared" si="12"/>
        <v>100</v>
      </c>
      <c r="T31" s="712" t="s">
        <v>17</v>
      </c>
      <c r="U31" s="713">
        <f t="shared" si="13"/>
        <v>100</v>
      </c>
      <c r="V31" s="712" t="s">
        <v>17</v>
      </c>
      <c r="W31" s="713">
        <f t="shared" si="14"/>
        <v>100</v>
      </c>
      <c r="X31" s="1537"/>
      <c r="Y31" s="3328"/>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28"/>
      <c r="Q32" s="1534" t="str">
        <f t="shared" si="11"/>
        <v>公共部分装修</v>
      </c>
      <c r="R32" s="712" t="s">
        <v>17</v>
      </c>
      <c r="S32" s="713">
        <f t="shared" si="12"/>
        <v>100</v>
      </c>
      <c r="T32" s="712" t="s">
        <v>17</v>
      </c>
      <c r="U32" s="713">
        <f t="shared" si="13"/>
        <v>100</v>
      </c>
      <c r="V32" s="712" t="s">
        <v>17</v>
      </c>
      <c r="W32" s="713">
        <f t="shared" si="14"/>
        <v>100</v>
      </c>
      <c r="X32" s="1537"/>
      <c r="Y32" s="3328"/>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28"/>
      <c r="Q33" s="1534" t="str">
        <f t="shared" si="11"/>
        <v>成新度</v>
      </c>
      <c r="R33" s="712" t="s">
        <v>17</v>
      </c>
      <c r="S33" s="713" t="e">
        <f t="shared" si="12"/>
        <v>#N/A</v>
      </c>
      <c r="T33" s="712" t="s">
        <v>17</v>
      </c>
      <c r="U33" s="713" t="e">
        <f t="shared" si="13"/>
        <v>#N/A</v>
      </c>
      <c r="V33" s="712" t="s">
        <v>17</v>
      </c>
      <c r="W33" s="713" t="e">
        <f t="shared" si="14"/>
        <v>#N/A</v>
      </c>
      <c r="X33" s="1537"/>
      <c r="Y33" s="3328"/>
      <c r="Z33" s="1538" t="str">
        <f t="shared" si="15"/>
        <v>成新度</v>
      </c>
      <c r="AA33" s="1535" t="e">
        <f t="shared" si="3"/>
        <v>#N/A</v>
      </c>
      <c r="AB33" s="1535" t="e">
        <f t="shared" si="4"/>
        <v>#N/A</v>
      </c>
      <c r="AC33" s="1535"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28"/>
      <c r="Q34" s="1525" t="str">
        <f t="shared" si="11"/>
        <v>物业管理</v>
      </c>
      <c r="R34" s="708" t="s">
        <v>17</v>
      </c>
      <c r="S34" s="709">
        <f t="shared" si="12"/>
        <v>100</v>
      </c>
      <c r="T34" s="708" t="s">
        <v>17</v>
      </c>
      <c r="U34" s="709">
        <f t="shared" si="13"/>
        <v>100</v>
      </c>
      <c r="V34" s="708" t="s">
        <v>17</v>
      </c>
      <c r="W34" s="709">
        <f t="shared" si="14"/>
        <v>100</v>
      </c>
      <c r="X34" s="710"/>
      <c r="Y34" s="3328"/>
      <c r="Z34" s="55" t="str">
        <f t="shared" si="15"/>
        <v>物业管理</v>
      </c>
      <c r="AA34" s="711">
        <f t="shared" si="3"/>
        <v>1</v>
      </c>
      <c r="AB34" s="711">
        <f t="shared" si="4"/>
        <v>1</v>
      </c>
      <c r="AC34" s="711">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28" t="s">
        <v>2386</v>
      </c>
      <c r="Q35" s="1534" t="str">
        <f t="shared" si="11"/>
        <v>市政基础设施</v>
      </c>
      <c r="R35" s="712" t="s">
        <v>17</v>
      </c>
      <c r="S35" s="713">
        <f t="shared" si="12"/>
        <v>100</v>
      </c>
      <c r="T35" s="712" t="s">
        <v>17</v>
      </c>
      <c r="U35" s="713">
        <f t="shared" si="13"/>
        <v>100</v>
      </c>
      <c r="V35" s="712" t="s">
        <v>17</v>
      </c>
      <c r="W35" s="713">
        <f t="shared" si="14"/>
        <v>100</v>
      </c>
      <c r="X35" s="1537"/>
      <c r="Y35" s="3328"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28"/>
      <c r="Q36" s="1534" t="str">
        <f t="shared" si="11"/>
        <v>内部装修</v>
      </c>
      <c r="R36" s="712" t="s">
        <v>17</v>
      </c>
      <c r="S36" s="713">
        <f t="shared" si="12"/>
        <v>100</v>
      </c>
      <c r="T36" s="712" t="s">
        <v>17</v>
      </c>
      <c r="U36" s="713">
        <f t="shared" si="13"/>
        <v>100</v>
      </c>
      <c r="V36" s="712" t="s">
        <v>17</v>
      </c>
      <c r="W36" s="713">
        <f t="shared" si="14"/>
        <v>100</v>
      </c>
      <c r="X36" s="1537"/>
      <c r="Y36" s="3328"/>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28"/>
      <c r="Q37" s="1534" t="str">
        <f t="shared" si="11"/>
        <v>内部装修状况</v>
      </c>
      <c r="R37" s="712" t="s">
        <v>17</v>
      </c>
      <c r="S37" s="713">
        <f t="shared" si="12"/>
        <v>100</v>
      </c>
      <c r="T37" s="712" t="s">
        <v>17</v>
      </c>
      <c r="U37" s="713">
        <f t="shared" si="13"/>
        <v>100</v>
      </c>
      <c r="V37" s="712" t="s">
        <v>17</v>
      </c>
      <c r="W37" s="713">
        <f t="shared" si="14"/>
        <v>100</v>
      </c>
      <c r="X37" s="1537"/>
      <c r="Y37" s="3328"/>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28"/>
      <c r="Q38" s="714">
        <f t="shared" si="11"/>
        <v>111</v>
      </c>
      <c r="R38" s="715" t="s">
        <v>17</v>
      </c>
      <c r="S38" s="716">
        <f t="shared" si="12"/>
        <v>100</v>
      </c>
      <c r="T38" s="715" t="s">
        <v>17</v>
      </c>
      <c r="U38" s="716">
        <f t="shared" si="13"/>
        <v>100</v>
      </c>
      <c r="V38" s="715" t="s">
        <v>17</v>
      </c>
      <c r="W38" s="716">
        <f t="shared" si="14"/>
        <v>100</v>
      </c>
      <c r="X38" s="717"/>
      <c r="Y38" s="3328"/>
      <c r="Z38" s="718">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28"/>
      <c r="Q39" s="1534">
        <f t="shared" si="11"/>
        <v>111</v>
      </c>
      <c r="R39" s="712" t="s">
        <v>17</v>
      </c>
      <c r="S39" s="713">
        <f t="shared" si="12"/>
        <v>100</v>
      </c>
      <c r="T39" s="712" t="s">
        <v>17</v>
      </c>
      <c r="U39" s="713">
        <f t="shared" si="13"/>
        <v>100</v>
      </c>
      <c r="V39" s="712" t="s">
        <v>17</v>
      </c>
      <c r="W39" s="713">
        <f t="shared" si="14"/>
        <v>100</v>
      </c>
      <c r="X39" s="1537"/>
      <c r="Y39" s="3328"/>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29"/>
      <c r="Q40" s="1534">
        <f t="shared" si="11"/>
        <v>111</v>
      </c>
      <c r="R40" s="712" t="s">
        <v>17</v>
      </c>
      <c r="S40" s="713">
        <f t="shared" si="12"/>
        <v>100</v>
      </c>
      <c r="T40" s="712" t="s">
        <v>17</v>
      </c>
      <c r="U40" s="713">
        <f t="shared" si="13"/>
        <v>100</v>
      </c>
      <c r="V40" s="712" t="s">
        <v>17</v>
      </c>
      <c r="W40" s="713">
        <f t="shared" si="14"/>
        <v>100</v>
      </c>
      <c r="X40" s="1537"/>
      <c r="Y40" s="3329"/>
      <c r="Z40" s="1538">
        <f t="shared" si="15"/>
        <v>111</v>
      </c>
      <c r="AA40" s="1535">
        <f t="shared" si="3"/>
        <v>1</v>
      </c>
      <c r="AB40" s="1535">
        <f t="shared" si="4"/>
        <v>1</v>
      </c>
      <c r="AC40" s="1535">
        <f t="shared" si="5"/>
        <v>1</v>
      </c>
    </row>
    <row r="41" spans="1:29" ht="15">
      <c r="A41" s="437" t="s">
        <v>2398</v>
      </c>
      <c r="B41" s="438"/>
      <c r="C41" s="1314" t="s">
        <v>1</v>
      </c>
      <c r="D41" s="1315"/>
      <c r="E41" s="1316"/>
      <c r="F41" s="1317"/>
      <c r="G41" s="1318"/>
      <c r="H41" s="1319"/>
      <c r="I41" s="1316"/>
      <c r="J41" s="1319"/>
      <c r="K41" s="721"/>
      <c r="L41" s="1055"/>
      <c r="M41" s="1056"/>
      <c r="N41" s="1043"/>
      <c r="O41" s="1056"/>
      <c r="P41" s="3321" t="str">
        <f>A41</f>
        <v>成交单价（元/平方米）</v>
      </c>
      <c r="Q41" s="3321"/>
      <c r="R41" s="3322">
        <f>E41</f>
        <v>0</v>
      </c>
      <c r="S41" s="3322"/>
      <c r="T41" s="3322">
        <f>G41</f>
        <v>0</v>
      </c>
      <c r="U41" s="3322"/>
      <c r="V41" s="3322">
        <f>I41</f>
        <v>0</v>
      </c>
      <c r="W41" s="3322"/>
      <c r="X41" s="697"/>
      <c r="Y41" s="719"/>
      <c r="Z41" s="697"/>
      <c r="AA41" s="697"/>
      <c r="AB41" s="697"/>
      <c r="AC41" s="697"/>
    </row>
    <row r="42" spans="1:29" ht="15.75" thickBot="1">
      <c r="A42" s="444" t="s">
        <v>2490</v>
      </c>
      <c r="B42" s="445"/>
      <c r="C42" s="1320" t="e">
        <f>R43</f>
        <v>#DIV/0!</v>
      </c>
      <c r="D42" s="2536" t="s">
        <v>2880</v>
      </c>
      <c r="E42" s="1321" t="e">
        <f>R42</f>
        <v>#DIV/0!</v>
      </c>
      <c r="F42" s="2537"/>
      <c r="G42" s="1320" t="e">
        <f>T42</f>
        <v>#DIV/0!</v>
      </c>
      <c r="H42" s="2537"/>
      <c r="I42" s="1321" t="e">
        <f>V42</f>
        <v>#DIV/0!</v>
      </c>
      <c r="J42" s="2537"/>
      <c r="K42" s="2539">
        <f>F42+H42+J42</f>
        <v>0</v>
      </c>
      <c r="L42" s="1055"/>
      <c r="M42" s="1056"/>
      <c r="N42" s="1043"/>
      <c r="O42" s="1056"/>
      <c r="P42" s="3321" t="str">
        <f>A42</f>
        <v>比较价值（元/平方米）</v>
      </c>
      <c r="Q42" s="3321"/>
      <c r="R42" s="3322" t="e">
        <f>IF(F1="售价",ROUND(PRODUCT(R41,AA7:AA40),0),ROUND(PRODUCT(R41,AA7:AA40),1))</f>
        <v>#DIV/0!</v>
      </c>
      <c r="S42" s="3322"/>
      <c r="T42" s="3322" t="e">
        <f>IF(F1="售价",ROUND(PRODUCT(T41,AB7:AB40),0),ROUND(PRODUCT(T41,AB7:AB40),1))</f>
        <v>#DIV/0!</v>
      </c>
      <c r="U42" s="3322"/>
      <c r="V42" s="3322" t="e">
        <f>IF(F1="售价",ROUND(PRODUCT(V41,AC7:AC40),0),ROUND(PRODUCT(V41,AC7:AC40),1))</f>
        <v>#DIV/0!</v>
      </c>
      <c r="W42" s="3322"/>
      <c r="X42" s="697"/>
      <c r="Y42" s="697"/>
      <c r="Z42" s="697"/>
      <c r="AA42" s="697"/>
      <c r="AB42" s="697"/>
      <c r="AC42" s="697"/>
    </row>
    <row r="43" spans="1:29" ht="15.75" thickBot="1">
      <c r="A43" s="448" t="s">
        <v>2491</v>
      </c>
      <c r="B43" s="449"/>
      <c r="C43" s="1323" t="e">
        <f>R43</f>
        <v>#DIV/0!</v>
      </c>
      <c r="D43" s="1323"/>
      <c r="E43" s="1323"/>
      <c r="F43" s="1323"/>
      <c r="G43" s="1323"/>
      <c r="H43" s="1323"/>
      <c r="I43" s="1323"/>
      <c r="J43" s="1323"/>
      <c r="K43" s="722"/>
      <c r="L43" s="1055"/>
      <c r="M43" s="1056"/>
      <c r="N43" s="1056"/>
      <c r="O43" s="1056"/>
      <c r="P43" s="3318" t="str">
        <f>A43</f>
        <v>估价对象XX用房的比较价值（楼面单价，元/平方米）</v>
      </c>
      <c r="Q43" s="3319"/>
      <c r="R43" s="3320" t="e">
        <f>IF(F1="售价",ROUND(IF(D42="简单平均",AVERAGE(R42:V42),R42*F42+T42*H42+V42*J42),0),ROUND(IF(D42="简单平均",AVERAGE(R42:V42),R42*F42+T42*H42+V42*J42),1))</f>
        <v>#DIV/0!</v>
      </c>
      <c r="S43" s="3320"/>
      <c r="T43" s="3320"/>
      <c r="U43" s="3320"/>
      <c r="V43" s="3320"/>
      <c r="W43" s="3320"/>
      <c r="X43" s="697"/>
      <c r="Y43" s="697"/>
      <c r="Z43" s="697"/>
      <c r="AA43" s="697"/>
      <c r="AB43" s="697"/>
      <c r="AC43" s="697"/>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8"/>
      <c r="M46" s="1056"/>
      <c r="N46" s="1056"/>
      <c r="O46" s="1056"/>
    </row>
    <row r="47" spans="1:29"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8"/>
      <c r="M47" s="1056"/>
      <c r="N47" s="1056"/>
      <c r="O47" s="1056"/>
    </row>
    <row r="48" spans="1:29"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59"/>
      <c r="M48" s="1057"/>
      <c r="N48" s="1057"/>
      <c r="O48" s="1057"/>
    </row>
    <row r="49" spans="1:17" s="458"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59"/>
      <c r="Q51" s="460"/>
    </row>
    <row r="52" spans="1:17" s="464" customFormat="1" ht="15">
      <c r="A52" s="461" t="s">
        <v>2369</v>
      </c>
      <c r="B52" s="462"/>
      <c r="C52" s="1344" t="str">
        <f>YEAR(C7)&amp;"-"&amp;MONTH(C7)</f>
        <v>2021-12</v>
      </c>
      <c r="D52" s="1345">
        <f>EDATE(C52,-1)</f>
        <v>44501</v>
      </c>
      <c r="E52" s="1345">
        <f t="shared" ref="E52:O52" si="16">EDATE(D52,-1)</f>
        <v>44470</v>
      </c>
      <c r="F52" s="1345">
        <f t="shared" si="16"/>
        <v>44440</v>
      </c>
      <c r="G52" s="1345">
        <f t="shared" si="16"/>
        <v>44409</v>
      </c>
      <c r="H52" s="1345">
        <f t="shared" si="16"/>
        <v>44378</v>
      </c>
      <c r="I52" s="1345">
        <f t="shared" si="16"/>
        <v>44348</v>
      </c>
      <c r="J52" s="1345">
        <f t="shared" si="16"/>
        <v>44317</v>
      </c>
      <c r="K52" s="1345">
        <f t="shared" si="16"/>
        <v>44287</v>
      </c>
      <c r="L52" s="1345">
        <f t="shared" si="16"/>
        <v>44256</v>
      </c>
      <c r="M52" s="1345">
        <f t="shared" si="16"/>
        <v>44228</v>
      </c>
      <c r="N52" s="1345">
        <f t="shared" si="16"/>
        <v>44197</v>
      </c>
      <c r="O52" s="1345">
        <f t="shared" si="16"/>
        <v>44166</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7"/>
      <c r="O54" s="2998"/>
      <c r="P54" s="460"/>
      <c r="Q54" s="460"/>
    </row>
    <row r="55" spans="1:17" s="113" customFormat="1" ht="15">
      <c r="A55" s="477" t="s">
        <v>2371</v>
      </c>
      <c r="B55" s="466"/>
      <c r="C55" s="478" t="s">
        <v>2473</v>
      </c>
      <c r="D55" s="479"/>
      <c r="E55" s="479"/>
      <c r="F55" s="479"/>
      <c r="G55" s="479"/>
      <c r="H55" s="479"/>
      <c r="I55" s="479"/>
      <c r="J55" s="479"/>
      <c r="K55" s="479"/>
      <c r="L55" s="480"/>
      <c r="M55" s="481"/>
      <c r="N55" s="1061"/>
      <c r="O55" s="1061"/>
      <c r="P55" s="482"/>
      <c r="Q55" s="460"/>
    </row>
    <row r="56" spans="1:17" s="113" customFormat="1" ht="15.75" thickBot="1">
      <c r="A56" s="477"/>
      <c r="B56" s="466"/>
      <c r="C56" s="593">
        <v>100</v>
      </c>
      <c r="D56" s="468"/>
      <c r="E56" s="468"/>
      <c r="F56" s="468"/>
      <c r="G56" s="468"/>
      <c r="H56" s="468"/>
      <c r="I56" s="468"/>
      <c r="J56" s="468"/>
      <c r="K56" s="468"/>
      <c r="L56" s="468"/>
      <c r="M56" s="470"/>
      <c r="N56" s="1061"/>
      <c r="O56" s="1061"/>
      <c r="P56" s="460"/>
      <c r="Q56" s="460"/>
    </row>
    <row r="57" spans="1:17">
      <c r="A57" s="483" t="s">
        <v>2409</v>
      </c>
      <c r="B57" s="484" t="s">
        <v>2375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2510</v>
      </c>
      <c r="C76" s="614" t="s">
        <v>2496</v>
      </c>
      <c r="D76" s="614" t="s">
        <v>2497</v>
      </c>
      <c r="E76" s="614" t="s">
        <v>2498</v>
      </c>
      <c r="F76" s="614" t="s">
        <v>2499</v>
      </c>
      <c r="G76" s="614" t="s">
        <v>2500</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63"/>
      <c r="O77" s="1063"/>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12"/>
      <c r="B87" s="525"/>
      <c r="C87" s="526"/>
      <c r="D87" s="526"/>
      <c r="E87" s="526"/>
      <c r="F87" s="526"/>
      <c r="G87" s="547"/>
      <c r="H87" s="547"/>
      <c r="I87" s="547"/>
      <c r="J87" s="547"/>
      <c r="K87" s="547"/>
      <c r="L87" s="547"/>
      <c r="M87" s="548"/>
      <c r="N87" s="1063"/>
      <c r="O87" s="1063"/>
      <c r="P87" s="45"/>
      <c r="Q87" s="460"/>
    </row>
    <row r="88" spans="1:17">
      <c r="A88" s="483" t="s">
        <v>2384</v>
      </c>
      <c r="B88" s="484" t="s">
        <v>2433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7"/>
      <c r="J98" s="577"/>
      <c r="K98" s="578"/>
      <c r="L98" s="579"/>
      <c r="M98" s="580"/>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2441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0" t="s">
        <v>2527</v>
      </c>
      <c r="C106" s="534" t="s">
        <v>2418</v>
      </c>
      <c r="D106" s="534" t="s">
        <v>2419</v>
      </c>
      <c r="E106" s="534" t="s">
        <v>2420</v>
      </c>
      <c r="F106" s="534" t="s">
        <v>2421</v>
      </c>
      <c r="G106" s="534" t="s">
        <v>2422</v>
      </c>
      <c r="H106" s="495"/>
      <c r="I106" s="495"/>
      <c r="J106" s="495"/>
      <c r="K106" s="496"/>
      <c r="L106" s="497"/>
      <c r="M106" s="498"/>
      <c r="N106" s="1063"/>
      <c r="O106" s="1063"/>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12"/>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估价对象为房地产，为所有。根据《国有土地使用证》[]，估价对象（分摊）出让国有建设用地使用权面积为16322平方米，建筑面积为27173.91平方米。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估价对象为房地产,属开发建设的，该项目尚在开发建设中。根据《国有土地使用证》[]，估价对象（分摊）出让国有建设用地使用权面积为16322平方米，规划建筑面积为27173.91平方米。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为估价委托人了解估价对象房地产市场价值提供参考依据。</v>
      </c>
    </row>
    <row r="14" spans="1:1" ht="18.75">
      <c r="A14" s="1668" t="s">
        <v>1583</v>
      </c>
    </row>
    <row r="15" spans="1:1" ht="18">
      <c r="A15" s="1669" t="str">
        <f>TEXT(项目基本情况!D3,"yyyy年m月d日;;")&amp;IF(项目基本情况!D3=项目基本情况!B3,"（评估专业人员实地查勘之日）","")</f>
        <v>2021年12月14日（评估专业人员实地查勘之日）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5"/>
      <c r="D2" s="1036" t="e">
        <f ca="1">SUMIF(INDIRECT("'"&amp;F2&amp;"'"&amp;"!A:A"),"承租人权益价值",INDIRECT("'"&amp;F2&amp;"'"&amp;"!c:c"))</f>
        <v>#REF!</v>
      </c>
      <c r="E2" s="2066" t="s">
        <v>2149</v>
      </c>
      <c r="F2" s="2067"/>
      <c r="G2" s="1037"/>
      <c r="H2" s="1037"/>
      <c r="I2" s="1037"/>
      <c r="J2" s="1037"/>
      <c r="K2" s="1039"/>
      <c r="L2" s="2961"/>
      <c r="M2" s="2962"/>
      <c r="N2" s="2962"/>
      <c r="O2" s="2962"/>
      <c r="P2" s="1325"/>
      <c r="Q2" s="706"/>
      <c r="R2" s="706"/>
      <c r="S2" s="706"/>
      <c r="T2" s="706"/>
      <c r="U2" s="706"/>
      <c r="V2" s="706"/>
      <c r="W2" s="706"/>
      <c r="X2" s="706"/>
      <c r="Y2" s="706"/>
      <c r="Z2" s="706"/>
      <c r="AA2" s="706"/>
      <c r="AB2" s="706"/>
      <c r="AC2" s="707"/>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61"/>
      <c r="M3" s="2962"/>
      <c r="N3" s="2962"/>
      <c r="O3" s="2962"/>
      <c r="P3" s="1325"/>
      <c r="Q3" s="706"/>
      <c r="R3" s="706"/>
      <c r="S3" s="706"/>
      <c r="T3" s="706"/>
      <c r="U3" s="706"/>
      <c r="V3" s="706"/>
      <c r="W3" s="706"/>
      <c r="X3" s="706"/>
      <c r="Y3" s="706"/>
      <c r="Z3" s="706"/>
      <c r="AA3" s="706"/>
      <c r="AB3" s="723"/>
      <c r="AC3" s="720"/>
    </row>
    <row r="4" spans="1:29" ht="15">
      <c r="A4" s="360" t="s">
        <v>2466</v>
      </c>
      <c r="B4" s="361"/>
      <c r="C4" s="3304" t="s">
        <v>2467</v>
      </c>
      <c r="D4" s="3305"/>
      <c r="E4" s="3306" t="s">
        <v>2468</v>
      </c>
      <c r="F4" s="3307"/>
      <c r="G4" s="3304" t="s">
        <v>2469</v>
      </c>
      <c r="H4" s="3305"/>
      <c r="I4" s="3304" t="s">
        <v>2470</v>
      </c>
      <c r="J4" s="3305"/>
      <c r="K4" s="566" t="s">
        <v>2471</v>
      </c>
      <c r="L4" s="2942"/>
      <c r="M4" s="2943"/>
      <c r="N4" s="2943"/>
      <c r="O4" s="2943"/>
      <c r="P4" s="3308" t="s">
        <v>2472</v>
      </c>
      <c r="Q4" s="3309"/>
      <c r="R4" s="3291" t="s">
        <v>2468</v>
      </c>
      <c r="S4" s="3292"/>
      <c r="T4" s="3291" t="s">
        <v>2469</v>
      </c>
      <c r="U4" s="3292"/>
      <c r="V4" s="3316" t="s">
        <v>2470</v>
      </c>
      <c r="W4" s="3316"/>
      <c r="X4" s="1537"/>
      <c r="Y4" s="3291" t="s">
        <v>2472</v>
      </c>
      <c r="Z4" s="3292"/>
      <c r="AA4" s="3286" t="s">
        <v>2468</v>
      </c>
      <c r="AB4" s="3287" t="s">
        <v>2469</v>
      </c>
      <c r="AC4" s="3286" t="s">
        <v>2470</v>
      </c>
    </row>
    <row r="5" spans="1:29" ht="15">
      <c r="A5" s="363"/>
      <c r="B5" s="364"/>
      <c r="C5" s="3297" t="s">
        <v>2363</v>
      </c>
      <c r="D5" s="3298"/>
      <c r="E5" s="3295" t="s">
        <v>2364</v>
      </c>
      <c r="F5" s="3296"/>
      <c r="G5" s="3297" t="s">
        <v>2365</v>
      </c>
      <c r="H5" s="3298"/>
      <c r="I5" s="3297" t="s">
        <v>2366</v>
      </c>
      <c r="J5" s="3298"/>
      <c r="K5" s="566"/>
      <c r="L5" s="2942"/>
      <c r="M5" s="2943"/>
      <c r="N5" s="2943"/>
      <c r="O5" s="2943"/>
      <c r="P5" s="3310"/>
      <c r="Q5" s="3311"/>
      <c r="R5" s="3293"/>
      <c r="S5" s="3294"/>
      <c r="T5" s="3293"/>
      <c r="U5" s="3294"/>
      <c r="V5" s="3316"/>
      <c r="W5" s="3316"/>
      <c r="X5" s="1537"/>
      <c r="Y5" s="3293"/>
      <c r="Z5" s="3294"/>
      <c r="AA5" s="3287"/>
      <c r="AB5" s="3287"/>
      <c r="AC5" s="3287"/>
    </row>
    <row r="6" spans="1:29" ht="15.75" thickBot="1">
      <c r="A6" s="365"/>
      <c r="B6" s="366"/>
      <c r="C6" s="3299" t="s">
        <v>2367</v>
      </c>
      <c r="D6" s="3300"/>
      <c r="E6" s="3301" t="s">
        <v>2367</v>
      </c>
      <c r="F6" s="3302"/>
      <c r="G6" s="3299" t="s">
        <v>2367</v>
      </c>
      <c r="H6" s="3300"/>
      <c r="I6" s="3299" t="s">
        <v>2367</v>
      </c>
      <c r="J6" s="3300"/>
      <c r="K6" s="566" t="s">
        <v>2368</v>
      </c>
      <c r="L6" s="2942"/>
      <c r="M6" s="2943"/>
      <c r="N6" s="2943"/>
      <c r="O6" s="2943"/>
      <c r="P6" s="3312"/>
      <c r="Q6" s="3313"/>
      <c r="R6" s="3293"/>
      <c r="S6" s="3294"/>
      <c r="T6" s="3314"/>
      <c r="U6" s="3315"/>
      <c r="V6" s="3316"/>
      <c r="W6" s="3316"/>
      <c r="X6" s="1537"/>
      <c r="Y6" s="3314"/>
      <c r="Z6" s="3315"/>
      <c r="AA6" s="3288"/>
      <c r="AB6" s="3288"/>
      <c r="AC6" s="3288"/>
    </row>
    <row r="7" spans="1:29" s="113" customFormat="1" ht="15.75" thickBot="1">
      <c r="A7" s="367" t="s">
        <v>2369</v>
      </c>
      <c r="B7" s="368"/>
      <c r="C7" s="369">
        <f>'数据-取费表'!B2</f>
        <v>44544</v>
      </c>
      <c r="D7" s="370">
        <v>100</v>
      </c>
      <c r="E7" s="371"/>
      <c r="F7" s="372">
        <f>SUMIF(48:48,YEAR(E7)&amp;"-"&amp;MONTH(E7),49:49)</f>
        <v>0</v>
      </c>
      <c r="G7" s="371"/>
      <c r="H7" s="370">
        <f>SUMIF(48:48,YEAR(G7)&amp;"-"&amp;MONTH(G7),49:49)</f>
        <v>0</v>
      </c>
      <c r="I7" s="371"/>
      <c r="J7" s="370">
        <f>SUMIF(48:48,YEAR(I7)&amp;"-"&amp;MONTH(I7),49:49)</f>
        <v>0</v>
      </c>
      <c r="K7" s="567"/>
      <c r="L7" s="2944"/>
      <c r="M7" s="2945"/>
      <c r="N7" s="2945"/>
      <c r="O7" s="2945"/>
      <c r="P7" s="3289" t="s">
        <v>2370</v>
      </c>
      <c r="Q7" s="3317"/>
      <c r="R7" s="708" t="s">
        <v>17</v>
      </c>
      <c r="S7" s="709">
        <f t="shared" ref="S7:S14" si="0">F7</f>
        <v>0</v>
      </c>
      <c r="T7" s="708" t="s">
        <v>17</v>
      </c>
      <c r="U7" s="709">
        <f t="shared" ref="U7:U14" si="1">H7</f>
        <v>0</v>
      </c>
      <c r="V7" s="708" t="s">
        <v>17</v>
      </c>
      <c r="W7" s="709">
        <f t="shared" ref="W7:W14" si="2">J7</f>
        <v>0</v>
      </c>
      <c r="X7" s="710"/>
      <c r="Y7" s="3289" t="s">
        <v>2370</v>
      </c>
      <c r="Z7" s="3290"/>
      <c r="AA7" s="711" t="e">
        <f>D7/F7</f>
        <v>#DIV/0!</v>
      </c>
      <c r="AB7" s="711" t="e">
        <f>D7/H7</f>
        <v>#DIV/0!</v>
      </c>
      <c r="AC7" s="711"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289" t="s">
        <v>2373</v>
      </c>
      <c r="Q8" s="3290"/>
      <c r="R8" s="708" t="s">
        <v>17</v>
      </c>
      <c r="S8" s="709">
        <f t="shared" si="0"/>
        <v>0</v>
      </c>
      <c r="T8" s="708" t="s">
        <v>17</v>
      </c>
      <c r="U8" s="709">
        <f t="shared" si="1"/>
        <v>0</v>
      </c>
      <c r="V8" s="708" t="s">
        <v>17</v>
      </c>
      <c r="W8" s="709">
        <f t="shared" si="2"/>
        <v>0</v>
      </c>
      <c r="X8" s="710"/>
      <c r="Y8" s="3289" t="s">
        <v>2373</v>
      </c>
      <c r="Z8" s="3290"/>
      <c r="AA8" s="711" t="e">
        <f t="shared" ref="AA8:AA36" si="3">D8/F8</f>
        <v>#DIV/0!</v>
      </c>
      <c r="AB8" s="711" t="e">
        <f t="shared" ref="AB8:AB36" si="4">D8/H8</f>
        <v>#DIV/0!</v>
      </c>
      <c r="AC8" s="711" t="e">
        <f t="shared" ref="AC8:AC36" si="5">D8/J8</f>
        <v>#DIV/0!</v>
      </c>
    </row>
    <row r="9" spans="1:29" s="113" customFormat="1">
      <c r="A9" s="64" t="s">
        <v>2374</v>
      </c>
      <c r="B9" s="594" t="s">
        <v>2375</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321" t="s">
        <v>2376</v>
      </c>
      <c r="Q9" s="1525" t="str">
        <f t="shared" ref="Q9:Q14" si="6">B9</f>
        <v>用途</v>
      </c>
      <c r="R9" s="708" t="s">
        <v>17</v>
      </c>
      <c r="S9" s="709">
        <f t="shared" si="0"/>
        <v>100</v>
      </c>
      <c r="T9" s="708" t="s">
        <v>17</v>
      </c>
      <c r="U9" s="709">
        <f t="shared" si="1"/>
        <v>100</v>
      </c>
      <c r="V9" s="708" t="s">
        <v>17</v>
      </c>
      <c r="W9" s="709">
        <f t="shared" si="2"/>
        <v>100</v>
      </c>
      <c r="X9" s="710"/>
      <c r="Y9" s="3231" t="s">
        <v>2377</v>
      </c>
      <c r="Z9" s="55" t="str">
        <f t="shared" ref="Z9:Z14" si="7">Q9</f>
        <v>用途</v>
      </c>
      <c r="AA9" s="711">
        <f t="shared" si="3"/>
        <v>1</v>
      </c>
      <c r="AB9" s="711">
        <f t="shared" si="4"/>
        <v>1</v>
      </c>
      <c r="AC9" s="711">
        <f t="shared" si="5"/>
        <v>1</v>
      </c>
    </row>
    <row r="10" spans="1:29" s="385" customFormat="1" ht="27">
      <c r="A10" s="595"/>
      <c r="B10" s="596" t="s">
        <v>2378</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321"/>
      <c r="Q10" s="1525" t="str">
        <f t="shared" si="6"/>
        <v>土地使用年限（年）</v>
      </c>
      <c r="R10" s="708" t="s">
        <v>17</v>
      </c>
      <c r="S10" s="709">
        <f t="shared" si="0"/>
        <v>100</v>
      </c>
      <c r="T10" s="708" t="s">
        <v>17</v>
      </c>
      <c r="U10" s="709">
        <f t="shared" si="1"/>
        <v>100</v>
      </c>
      <c r="V10" s="708" t="s">
        <v>17</v>
      </c>
      <c r="W10" s="709">
        <f t="shared" si="2"/>
        <v>100</v>
      </c>
      <c r="X10" s="710"/>
      <c r="Y10" s="3231"/>
      <c r="Z10" s="55" t="str">
        <f t="shared" si="7"/>
        <v>土地使用年限（年）</v>
      </c>
      <c r="AA10" s="711">
        <f t="shared" si="3"/>
        <v>1</v>
      </c>
      <c r="AB10" s="711">
        <f t="shared" si="4"/>
        <v>1</v>
      </c>
      <c r="AC10" s="711">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321"/>
      <c r="Q11" s="1525">
        <f t="shared" si="6"/>
        <v>111</v>
      </c>
      <c r="R11" s="708" t="s">
        <v>17</v>
      </c>
      <c r="S11" s="709">
        <f t="shared" si="0"/>
        <v>100</v>
      </c>
      <c r="T11" s="708" t="s">
        <v>17</v>
      </c>
      <c r="U11" s="709">
        <f t="shared" si="1"/>
        <v>100</v>
      </c>
      <c r="V11" s="708" t="s">
        <v>17</v>
      </c>
      <c r="W11" s="709">
        <f t="shared" si="2"/>
        <v>100</v>
      </c>
      <c r="X11" s="710"/>
      <c r="Y11" s="3231"/>
      <c r="Z11" s="55">
        <f t="shared" si="7"/>
        <v>111</v>
      </c>
      <c r="AA11" s="711">
        <f t="shared" si="3"/>
        <v>1</v>
      </c>
      <c r="AB11" s="711">
        <f t="shared" si="4"/>
        <v>1</v>
      </c>
      <c r="AC11" s="711">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321"/>
      <c r="Q12" s="1525">
        <f t="shared" si="6"/>
        <v>111</v>
      </c>
      <c r="R12" s="708" t="s">
        <v>17</v>
      </c>
      <c r="S12" s="709">
        <f t="shared" si="0"/>
        <v>100</v>
      </c>
      <c r="T12" s="708" t="s">
        <v>17</v>
      </c>
      <c r="U12" s="709">
        <f t="shared" si="1"/>
        <v>100</v>
      </c>
      <c r="V12" s="708" t="s">
        <v>17</v>
      </c>
      <c r="W12" s="709">
        <f t="shared" si="2"/>
        <v>100</v>
      </c>
      <c r="X12" s="710"/>
      <c r="Y12" s="3231"/>
      <c r="Z12" s="55">
        <f t="shared" si="7"/>
        <v>111</v>
      </c>
      <c r="AA12" s="711">
        <f>D12/F12</f>
        <v>1</v>
      </c>
      <c r="AB12" s="711">
        <f>D12/H12</f>
        <v>1</v>
      </c>
      <c r="AC12" s="711">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321"/>
      <c r="Q13" s="1525">
        <f t="shared" si="6"/>
        <v>111</v>
      </c>
      <c r="R13" s="708" t="s">
        <v>17</v>
      </c>
      <c r="S13" s="709">
        <f t="shared" si="0"/>
        <v>100</v>
      </c>
      <c r="T13" s="708" t="s">
        <v>17</v>
      </c>
      <c r="U13" s="709">
        <f t="shared" si="1"/>
        <v>100</v>
      </c>
      <c r="V13" s="708" t="s">
        <v>17</v>
      </c>
      <c r="W13" s="709">
        <f t="shared" si="2"/>
        <v>100</v>
      </c>
      <c r="X13" s="710"/>
      <c r="Y13" s="3231"/>
      <c r="Z13" s="55">
        <f t="shared" si="7"/>
        <v>111</v>
      </c>
      <c r="AA13" s="711">
        <f t="shared" si="3"/>
        <v>1</v>
      </c>
      <c r="AB13" s="711">
        <f t="shared" si="4"/>
        <v>1</v>
      </c>
      <c r="AC13" s="711">
        <f t="shared" si="5"/>
        <v>1</v>
      </c>
    </row>
    <row r="14" spans="1:29" ht="15">
      <c r="A14" s="360" t="s">
        <v>2380</v>
      </c>
      <c r="B14" s="583" t="s">
        <v>2530</v>
      </c>
      <c r="C14" s="2155">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323" t="s">
        <v>2381</v>
      </c>
      <c r="Q14" s="1534" t="str">
        <f t="shared" si="6"/>
        <v>交通便捷度</v>
      </c>
      <c r="R14" s="712" t="s">
        <v>17</v>
      </c>
      <c r="S14" s="713">
        <f t="shared" si="0"/>
        <v>100</v>
      </c>
      <c r="T14" s="712" t="s">
        <v>17</v>
      </c>
      <c r="U14" s="713">
        <f t="shared" si="1"/>
        <v>100</v>
      </c>
      <c r="V14" s="712" t="s">
        <v>17</v>
      </c>
      <c r="W14" s="713">
        <f t="shared" si="2"/>
        <v>100</v>
      </c>
      <c r="X14" s="1537"/>
      <c r="Y14" s="3323" t="s">
        <v>2381</v>
      </c>
      <c r="Z14" s="1538" t="str">
        <f t="shared" si="7"/>
        <v>交通便捷度</v>
      </c>
      <c r="AA14" s="1535">
        <f t="shared" si="3"/>
        <v>1</v>
      </c>
      <c r="AB14" s="1535">
        <f t="shared" si="4"/>
        <v>1</v>
      </c>
      <c r="AC14" s="1535">
        <f t="shared" si="5"/>
        <v>1</v>
      </c>
    </row>
    <row r="15" spans="1:29" ht="15">
      <c r="A15" s="363"/>
      <c r="B15" s="601"/>
      <c r="C15" s="405"/>
      <c r="D15" s="406"/>
      <c r="E15" s="405"/>
      <c r="F15" s="407"/>
      <c r="G15" s="405"/>
      <c r="H15" s="408"/>
      <c r="I15" s="405"/>
      <c r="J15" s="406"/>
      <c r="K15" s="571"/>
      <c r="L15" s="2949"/>
      <c r="M15" s="2943"/>
      <c r="N15" s="2943"/>
      <c r="O15" s="2943"/>
      <c r="P15" s="3324"/>
      <c r="Q15" s="1534"/>
      <c r="R15" s="712"/>
      <c r="S15" s="713"/>
      <c r="T15" s="712"/>
      <c r="U15" s="713"/>
      <c r="V15" s="712"/>
      <c r="W15" s="713"/>
      <c r="X15" s="1537"/>
      <c r="Y15" s="3324"/>
      <c r="Z15" s="1538"/>
      <c r="AA15" s="1535">
        <v>1</v>
      </c>
      <c r="AB15" s="1535">
        <v>1</v>
      </c>
      <c r="AC15" s="1535">
        <v>1</v>
      </c>
    </row>
    <row r="16" spans="1:29" ht="15">
      <c r="A16" s="363"/>
      <c r="B16" s="585" t="s">
        <v>2509</v>
      </c>
      <c r="C16" s="2084">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324"/>
      <c r="Q16" s="1534" t="str">
        <f>B16</f>
        <v>公共配套设施</v>
      </c>
      <c r="R16" s="712" t="s">
        <v>17</v>
      </c>
      <c r="S16" s="713">
        <f>F16</f>
        <v>100</v>
      </c>
      <c r="T16" s="712" t="s">
        <v>17</v>
      </c>
      <c r="U16" s="713">
        <f>H16</f>
        <v>100</v>
      </c>
      <c r="V16" s="712" t="s">
        <v>17</v>
      </c>
      <c r="W16" s="713">
        <f>J16</f>
        <v>100</v>
      </c>
      <c r="X16" s="1537"/>
      <c r="Y16" s="3324"/>
      <c r="Z16" s="1538" t="str">
        <f>Q16</f>
        <v>公共配套设施</v>
      </c>
      <c r="AA16" s="1535">
        <f t="shared" si="3"/>
        <v>1</v>
      </c>
      <c r="AB16" s="1535">
        <f t="shared" si="4"/>
        <v>1</v>
      </c>
      <c r="AC16" s="1535">
        <f t="shared" si="5"/>
        <v>1</v>
      </c>
    </row>
    <row r="17" spans="1:29" ht="15">
      <c r="A17" s="363"/>
      <c r="B17" s="586"/>
      <c r="C17" s="2085"/>
      <c r="D17" s="406"/>
      <c r="E17" s="405"/>
      <c r="F17" s="407"/>
      <c r="G17" s="405"/>
      <c r="H17" s="406"/>
      <c r="I17" s="405"/>
      <c r="J17" s="406"/>
      <c r="K17" s="571"/>
      <c r="L17" s="2949"/>
      <c r="M17" s="2943"/>
      <c r="N17" s="2943"/>
      <c r="O17" s="2943"/>
      <c r="P17" s="3324"/>
      <c r="Q17" s="1534"/>
      <c r="R17" s="712"/>
      <c r="S17" s="713"/>
      <c r="T17" s="712"/>
      <c r="U17" s="713"/>
      <c r="V17" s="712"/>
      <c r="W17" s="713"/>
      <c r="X17" s="1537"/>
      <c r="Y17" s="3324"/>
      <c r="Z17" s="1538"/>
      <c r="AA17" s="1535">
        <v>1</v>
      </c>
      <c r="AB17" s="1535">
        <v>1</v>
      </c>
      <c r="AC17" s="1535">
        <v>1</v>
      </c>
    </row>
    <row r="18" spans="1:29" ht="15">
      <c r="A18" s="363"/>
      <c r="B18" s="587" t="s">
        <v>2510</v>
      </c>
      <c r="C18" s="2084">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324"/>
      <c r="Q18" s="1534" t="str">
        <f>B18</f>
        <v>基础设施水平</v>
      </c>
      <c r="R18" s="712" t="s">
        <v>17</v>
      </c>
      <c r="S18" s="713">
        <f>F18</f>
        <v>100</v>
      </c>
      <c r="T18" s="712" t="s">
        <v>17</v>
      </c>
      <c r="U18" s="713">
        <f>H18</f>
        <v>100</v>
      </c>
      <c r="V18" s="712" t="s">
        <v>17</v>
      </c>
      <c r="W18" s="713">
        <f>J18</f>
        <v>100</v>
      </c>
      <c r="X18" s="1537"/>
      <c r="Y18" s="3324"/>
      <c r="Z18" s="1538" t="str">
        <f>Q18</f>
        <v>基础设施水平</v>
      </c>
      <c r="AA18" s="1535">
        <f t="shared" ref="AA18" si="8">D18/F18</f>
        <v>1</v>
      </c>
      <c r="AB18" s="1535">
        <f t="shared" ref="AB18" si="9">D18/H18</f>
        <v>1</v>
      </c>
      <c r="AC18" s="1535">
        <f t="shared" ref="AC18" si="10">D18/J18</f>
        <v>1</v>
      </c>
    </row>
    <row r="19" spans="1:29" ht="15">
      <c r="A19" s="363"/>
      <c r="B19" s="587"/>
      <c r="C19" s="2085"/>
      <c r="D19" s="408"/>
      <c r="E19" s="2085"/>
      <c r="F19" s="411"/>
      <c r="G19" s="2085"/>
      <c r="H19" s="406"/>
      <c r="I19" s="405"/>
      <c r="J19" s="406"/>
      <c r="K19" s="1290"/>
      <c r="L19" s="2949"/>
      <c r="M19" s="2943"/>
      <c r="N19" s="2943"/>
      <c r="O19" s="2943"/>
      <c r="P19" s="3324"/>
      <c r="Q19" s="1534"/>
      <c r="R19" s="712"/>
      <c r="S19" s="713"/>
      <c r="T19" s="712"/>
      <c r="U19" s="713"/>
      <c r="V19" s="712"/>
      <c r="W19" s="713"/>
      <c r="X19" s="1537"/>
      <c r="Y19" s="3324"/>
      <c r="Z19" s="1538"/>
      <c r="AA19" s="1535">
        <v>1</v>
      </c>
      <c r="AB19" s="1535">
        <v>1</v>
      </c>
      <c r="AC19" s="1535">
        <v>1</v>
      </c>
    </row>
    <row r="20" spans="1:29" ht="15">
      <c r="A20" s="363"/>
      <c r="B20" s="585" t="s">
        <v>2531</v>
      </c>
      <c r="C20" s="2084">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324"/>
      <c r="Q20" s="1534" t="str">
        <f>B20</f>
        <v>自然及人文环境</v>
      </c>
      <c r="R20" s="712" t="s">
        <v>17</v>
      </c>
      <c r="S20" s="713">
        <f>F20</f>
        <v>100</v>
      </c>
      <c r="T20" s="712" t="s">
        <v>17</v>
      </c>
      <c r="U20" s="713">
        <f>H20</f>
        <v>100</v>
      </c>
      <c r="V20" s="712" t="s">
        <v>17</v>
      </c>
      <c r="W20" s="713">
        <f>J20</f>
        <v>100</v>
      </c>
      <c r="X20" s="1537"/>
      <c r="Y20" s="3324"/>
      <c r="Z20" s="1538" t="str">
        <f>Q20</f>
        <v>自然及人文环境</v>
      </c>
      <c r="AA20" s="1535">
        <f t="shared" si="3"/>
        <v>1</v>
      </c>
      <c r="AB20" s="1535">
        <f t="shared" si="4"/>
        <v>1</v>
      </c>
      <c r="AC20" s="1535">
        <f t="shared" si="5"/>
        <v>1</v>
      </c>
    </row>
    <row r="21" spans="1:29" ht="15">
      <c r="A21" s="363"/>
      <c r="B21" s="586"/>
      <c r="C21" s="405"/>
      <c r="D21" s="406"/>
      <c r="E21" s="405"/>
      <c r="F21" s="407"/>
      <c r="G21" s="405"/>
      <c r="H21" s="406"/>
      <c r="I21" s="405"/>
      <c r="J21" s="406"/>
      <c r="K21" s="571"/>
      <c r="L21" s="2949"/>
      <c r="M21" s="2943"/>
      <c r="N21" s="2943"/>
      <c r="O21" s="2943"/>
      <c r="P21" s="3324"/>
      <c r="Q21" s="1534"/>
      <c r="R21" s="712"/>
      <c r="S21" s="713"/>
      <c r="T21" s="712"/>
      <c r="U21" s="713"/>
      <c r="V21" s="712"/>
      <c r="W21" s="713"/>
      <c r="X21" s="1537"/>
      <c r="Y21" s="3324"/>
      <c r="Z21" s="1538"/>
      <c r="AA21" s="1535">
        <v>1</v>
      </c>
      <c r="AB21" s="1535">
        <v>1</v>
      </c>
      <c r="AC21" s="1535">
        <v>1</v>
      </c>
    </row>
    <row r="22" spans="1:29" ht="15">
      <c r="A22" s="363"/>
      <c r="B22" s="585" t="s">
        <v>2532</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324"/>
      <c r="Q22" s="1534" t="str">
        <f>B22</f>
        <v>楼层</v>
      </c>
      <c r="R22" s="712" t="s">
        <v>17</v>
      </c>
      <c r="S22" s="713">
        <f>F22</f>
        <v>100</v>
      </c>
      <c r="T22" s="712" t="s">
        <v>17</v>
      </c>
      <c r="U22" s="713">
        <f>H22</f>
        <v>100</v>
      </c>
      <c r="V22" s="712" t="s">
        <v>17</v>
      </c>
      <c r="W22" s="713">
        <f>J22</f>
        <v>100</v>
      </c>
      <c r="X22" s="1537"/>
      <c r="Y22" s="3324"/>
      <c r="Z22" s="1538" t="str">
        <f>Q22</f>
        <v>楼层</v>
      </c>
      <c r="AA22" s="1535">
        <f t="shared" si="3"/>
        <v>1</v>
      </c>
      <c r="AB22" s="1535">
        <f t="shared" si="4"/>
        <v>1</v>
      </c>
      <c r="AC22" s="1535">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324"/>
      <c r="Q23" s="1534">
        <f>B23</f>
        <v>111</v>
      </c>
      <c r="R23" s="712" t="s">
        <v>17</v>
      </c>
      <c r="S23" s="713">
        <f>F23</f>
        <v>100</v>
      </c>
      <c r="T23" s="712" t="s">
        <v>17</v>
      </c>
      <c r="U23" s="713">
        <f>H23</f>
        <v>100</v>
      </c>
      <c r="V23" s="712" t="s">
        <v>17</v>
      </c>
      <c r="W23" s="713">
        <f>J23</f>
        <v>100</v>
      </c>
      <c r="X23" s="1537"/>
      <c r="Y23" s="3324"/>
      <c r="Z23" s="1538">
        <f>Q23</f>
        <v>111</v>
      </c>
      <c r="AA23" s="1535">
        <f t="shared" si="3"/>
        <v>1</v>
      </c>
      <c r="AB23" s="1535">
        <f t="shared" si="4"/>
        <v>1</v>
      </c>
      <c r="AC23" s="1535">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324"/>
      <c r="Q24" s="1534">
        <f t="shared" ref="Q24:Q36" si="11">B24</f>
        <v>111</v>
      </c>
      <c r="R24" s="712" t="s">
        <v>17</v>
      </c>
      <c r="S24" s="713">
        <f>F24</f>
        <v>100</v>
      </c>
      <c r="T24" s="712" t="s">
        <v>17</v>
      </c>
      <c r="U24" s="713">
        <f>H24</f>
        <v>100</v>
      </c>
      <c r="V24" s="712" t="s">
        <v>17</v>
      </c>
      <c r="W24" s="713">
        <f>J24</f>
        <v>100</v>
      </c>
      <c r="X24" s="1537"/>
      <c r="Y24" s="3324"/>
      <c r="Z24" s="1538">
        <f>Q24</f>
        <v>111</v>
      </c>
      <c r="AA24" s="1535">
        <f t="shared" si="3"/>
        <v>1</v>
      </c>
      <c r="AB24" s="1535">
        <f t="shared" si="4"/>
        <v>1</v>
      </c>
      <c r="AC24" s="1535">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44"/>
      <c r="M25" s="2945"/>
      <c r="N25" s="2945"/>
      <c r="O25" s="2945"/>
      <c r="P25" s="3324"/>
      <c r="Q25" s="1525">
        <f t="shared" si="11"/>
        <v>111</v>
      </c>
      <c r="R25" s="708" t="s">
        <v>17</v>
      </c>
      <c r="S25" s="709">
        <f>F25</f>
        <v>100</v>
      </c>
      <c r="T25" s="708" t="s">
        <v>17</v>
      </c>
      <c r="U25" s="709">
        <f>H25</f>
        <v>100</v>
      </c>
      <c r="V25" s="708" t="s">
        <v>17</v>
      </c>
      <c r="W25" s="709">
        <f>J25</f>
        <v>100</v>
      </c>
      <c r="X25" s="710"/>
      <c r="Y25" s="3324"/>
      <c r="Z25" s="55">
        <f>Q25</f>
        <v>111</v>
      </c>
      <c r="AA25" s="1535">
        <f>D25/F25</f>
        <v>1</v>
      </c>
      <c r="AB25" s="1535">
        <f>D25/H25</f>
        <v>1</v>
      </c>
      <c r="AC25" s="1535">
        <f>D25/J25</f>
        <v>1</v>
      </c>
    </row>
    <row r="26" spans="1:29" ht="28.5">
      <c r="A26" s="606" t="s">
        <v>2384</v>
      </c>
      <c r="B26" s="66"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349" t="s">
        <v>2386</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28" t="s">
        <v>2386</v>
      </c>
      <c r="Z26" s="1538" t="str">
        <f t="shared" ref="Z26:Z36" si="15">Q26</f>
        <v>配套类型</v>
      </c>
      <c r="AA26" s="1535">
        <f t="shared" si="3"/>
        <v>1</v>
      </c>
      <c r="AB26" s="1535">
        <f t="shared" si="4"/>
        <v>1</v>
      </c>
      <c r="AC26" s="1535">
        <f t="shared" si="5"/>
        <v>1</v>
      </c>
    </row>
    <row r="27" spans="1:29" s="429" customFormat="1" ht="15">
      <c r="A27" s="607"/>
      <c r="B27" s="608" t="s">
        <v>2534</v>
      </c>
      <c r="C27" s="609"/>
      <c r="D27" s="131">
        <v>100</v>
      </c>
      <c r="E27" s="609"/>
      <c r="F27" s="419">
        <f>SUMIF(81:81,E27,82:82)-SUMIF(81:81,C27,82:82)+100</f>
        <v>100</v>
      </c>
      <c r="G27" s="609"/>
      <c r="H27" s="393">
        <f>SUMIF(81:81,G27,82:82)-SUMIF(81:81,C27,82:82)+100</f>
        <v>100</v>
      </c>
      <c r="I27" s="609"/>
      <c r="J27" s="393">
        <f>SUMIF(81:81,I27,82:82)-SUMIF(81:81,C27,82:82)+100</f>
        <v>100</v>
      </c>
      <c r="K27" s="569"/>
      <c r="L27" s="2948"/>
      <c r="M27" s="2950"/>
      <c r="N27" s="2950"/>
      <c r="O27" s="2950"/>
      <c r="P27" s="3328"/>
      <c r="Q27" s="714" t="str">
        <f t="shared" si="11"/>
        <v>项目停车位配比</v>
      </c>
      <c r="R27" s="715" t="s">
        <v>17</v>
      </c>
      <c r="S27" s="716">
        <f t="shared" si="12"/>
        <v>100</v>
      </c>
      <c r="T27" s="715" t="s">
        <v>17</v>
      </c>
      <c r="U27" s="716">
        <f t="shared" si="13"/>
        <v>100</v>
      </c>
      <c r="V27" s="715" t="s">
        <v>17</v>
      </c>
      <c r="W27" s="716">
        <f t="shared" si="14"/>
        <v>100</v>
      </c>
      <c r="X27" s="717"/>
      <c r="Y27" s="3328"/>
      <c r="Z27" s="718" t="str">
        <f t="shared" si="15"/>
        <v>项目停车位配比</v>
      </c>
      <c r="AA27" s="1535">
        <f t="shared" si="3"/>
        <v>1</v>
      </c>
      <c r="AB27" s="1535">
        <f t="shared" si="4"/>
        <v>1</v>
      </c>
      <c r="AC27" s="1535">
        <f t="shared" si="5"/>
        <v>1</v>
      </c>
    </row>
    <row r="28" spans="1:29" ht="15">
      <c r="A28" s="610"/>
      <c r="B28" s="608" t="s">
        <v>2535</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328"/>
      <c r="Q28" s="1534" t="str">
        <f t="shared" si="11"/>
        <v>公共部分装修</v>
      </c>
      <c r="R28" s="712" t="s">
        <v>17</v>
      </c>
      <c r="S28" s="713">
        <f t="shared" si="12"/>
        <v>100</v>
      </c>
      <c r="T28" s="712" t="s">
        <v>17</v>
      </c>
      <c r="U28" s="713">
        <f t="shared" si="13"/>
        <v>100</v>
      </c>
      <c r="V28" s="712" t="s">
        <v>17</v>
      </c>
      <c r="W28" s="713">
        <f t="shared" si="14"/>
        <v>100</v>
      </c>
      <c r="X28" s="1537"/>
      <c r="Y28" s="3328"/>
      <c r="Z28" s="1538" t="str">
        <f t="shared" si="15"/>
        <v>公共部分装修</v>
      </c>
      <c r="AA28" s="1535">
        <f t="shared" si="3"/>
        <v>1</v>
      </c>
      <c r="AB28" s="1535">
        <f t="shared" si="4"/>
        <v>1</v>
      </c>
      <c r="AC28" s="1535">
        <f t="shared" si="5"/>
        <v>1</v>
      </c>
    </row>
    <row r="29" spans="1:29" ht="15">
      <c r="A29" s="610"/>
      <c r="B29" s="608"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328"/>
      <c r="Q29" s="1534" t="str">
        <f t="shared" si="11"/>
        <v>成新率</v>
      </c>
      <c r="R29" s="712" t="s">
        <v>17</v>
      </c>
      <c r="S29" s="713" t="e">
        <f t="shared" si="12"/>
        <v>#N/A</v>
      </c>
      <c r="T29" s="712" t="s">
        <v>17</v>
      </c>
      <c r="U29" s="713" t="e">
        <f t="shared" si="13"/>
        <v>#N/A</v>
      </c>
      <c r="V29" s="712" t="s">
        <v>17</v>
      </c>
      <c r="W29" s="713" t="e">
        <f t="shared" si="14"/>
        <v>#N/A</v>
      </c>
      <c r="X29" s="1537"/>
      <c r="Y29" s="3328"/>
      <c r="Z29" s="1538" t="str">
        <f t="shared" si="15"/>
        <v>成新率</v>
      </c>
      <c r="AA29" s="1535" t="e">
        <f t="shared" si="3"/>
        <v>#N/A</v>
      </c>
      <c r="AB29" s="1535" t="e">
        <f t="shared" si="4"/>
        <v>#N/A</v>
      </c>
      <c r="AC29" s="1535" t="e">
        <f t="shared" si="5"/>
        <v>#N/A</v>
      </c>
    </row>
    <row r="30" spans="1:29" ht="15">
      <c r="A30" s="610"/>
      <c r="B30" s="608" t="s">
        <v>2537</v>
      </c>
      <c r="C30" s="611"/>
      <c r="D30" s="393">
        <v>100</v>
      </c>
      <c r="E30" s="611"/>
      <c r="F30" s="419">
        <f>SUMIF(88:88,E30,89:89)-SUMIF(88:88,C30,89:89)+100</f>
        <v>100</v>
      </c>
      <c r="G30" s="611"/>
      <c r="H30" s="393">
        <f>SUMIF(88:88,E30,89:89)-SUMIF(88:88,C30,89:89)+100</f>
        <v>100</v>
      </c>
      <c r="I30" s="611"/>
      <c r="J30" s="393">
        <f>SUMIF(88:88,E30,89:89)-SUMIF(88:88,C30,89:89)+100</f>
        <v>100</v>
      </c>
      <c r="K30" s="568"/>
      <c r="L30" s="2949"/>
      <c r="M30" s="2943"/>
      <c r="N30" s="2943"/>
      <c r="O30" s="2943"/>
      <c r="P30" s="3328"/>
      <c r="Q30" s="1534" t="str">
        <f t="shared" si="11"/>
        <v>物业等级</v>
      </c>
      <c r="R30" s="712" t="s">
        <v>17</v>
      </c>
      <c r="S30" s="713">
        <f t="shared" si="12"/>
        <v>100</v>
      </c>
      <c r="T30" s="712" t="s">
        <v>17</v>
      </c>
      <c r="U30" s="713">
        <f t="shared" si="13"/>
        <v>100</v>
      </c>
      <c r="V30" s="712" t="s">
        <v>17</v>
      </c>
      <c r="W30" s="713">
        <f t="shared" si="14"/>
        <v>100</v>
      </c>
      <c r="X30" s="1537"/>
      <c r="Y30" s="3328"/>
      <c r="Z30" s="1538" t="str">
        <f t="shared" si="15"/>
        <v>物业等级</v>
      </c>
      <c r="AA30" s="1535">
        <f t="shared" si="3"/>
        <v>1</v>
      </c>
      <c r="AB30" s="1535">
        <f t="shared" si="4"/>
        <v>1</v>
      </c>
      <c r="AC30" s="1535">
        <f t="shared" si="5"/>
        <v>1</v>
      </c>
    </row>
    <row r="31" spans="1:29" s="113" customFormat="1" ht="15">
      <c r="A31" s="612"/>
      <c r="B31" s="608"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328"/>
      <c r="Q31" s="1525" t="str">
        <f t="shared" si="11"/>
        <v>停车位面积</v>
      </c>
      <c r="R31" s="708" t="s">
        <v>17</v>
      </c>
      <c r="S31" s="709" t="e">
        <f t="shared" si="12"/>
        <v>#N/A</v>
      </c>
      <c r="T31" s="708" t="s">
        <v>17</v>
      </c>
      <c r="U31" s="709" t="e">
        <f t="shared" si="13"/>
        <v>#N/A</v>
      </c>
      <c r="V31" s="708" t="s">
        <v>17</v>
      </c>
      <c r="W31" s="709" t="e">
        <f t="shared" si="14"/>
        <v>#N/A</v>
      </c>
      <c r="X31" s="710"/>
      <c r="Y31" s="3328"/>
      <c r="Z31" s="55" t="str">
        <f t="shared" si="15"/>
        <v>停车位面积</v>
      </c>
      <c r="AA31" s="711" t="e">
        <f t="shared" si="3"/>
        <v>#N/A</v>
      </c>
      <c r="AB31" s="711" t="e">
        <f t="shared" si="4"/>
        <v>#N/A</v>
      </c>
      <c r="AC31" s="711" t="e">
        <f t="shared" si="5"/>
        <v>#N/A</v>
      </c>
    </row>
    <row r="32" spans="1:29" ht="15">
      <c r="A32" s="610"/>
      <c r="B32" s="608" t="s">
        <v>2539</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328" t="s">
        <v>2386</v>
      </c>
      <c r="Q32" s="1534" t="str">
        <f t="shared" si="11"/>
        <v>车位类型</v>
      </c>
      <c r="R32" s="712" t="s">
        <v>17</v>
      </c>
      <c r="S32" s="713">
        <f t="shared" si="12"/>
        <v>100</v>
      </c>
      <c r="T32" s="712" t="s">
        <v>17</v>
      </c>
      <c r="U32" s="713">
        <f t="shared" si="13"/>
        <v>100</v>
      </c>
      <c r="V32" s="712" t="s">
        <v>17</v>
      </c>
      <c r="W32" s="713">
        <f t="shared" si="14"/>
        <v>100</v>
      </c>
      <c r="X32" s="1537"/>
      <c r="Y32" s="3328" t="s">
        <v>2386</v>
      </c>
      <c r="Z32" s="1538" t="str">
        <f t="shared" si="15"/>
        <v>车位类型</v>
      </c>
      <c r="AA32" s="1535">
        <f t="shared" si="3"/>
        <v>1</v>
      </c>
      <c r="AB32" s="1535">
        <f t="shared" si="4"/>
        <v>1</v>
      </c>
      <c r="AC32" s="1535">
        <f t="shared" si="5"/>
        <v>1</v>
      </c>
    </row>
    <row r="33" spans="1:29" ht="15">
      <c r="A33" s="610"/>
      <c r="B33" s="608" t="s">
        <v>2540</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328"/>
      <c r="Q33" s="1534" t="str">
        <f t="shared" si="11"/>
        <v>是否直接入户</v>
      </c>
      <c r="R33" s="712" t="s">
        <v>17</v>
      </c>
      <c r="S33" s="713">
        <f t="shared" si="12"/>
        <v>100</v>
      </c>
      <c r="T33" s="712" t="s">
        <v>17</v>
      </c>
      <c r="U33" s="713">
        <f t="shared" si="13"/>
        <v>100</v>
      </c>
      <c r="V33" s="712" t="s">
        <v>17</v>
      </c>
      <c r="W33" s="713">
        <f t="shared" si="14"/>
        <v>100</v>
      </c>
      <c r="X33" s="1537"/>
      <c r="Y33" s="3328"/>
      <c r="Z33" s="1538" t="str">
        <f t="shared" si="15"/>
        <v>是否直接入户</v>
      </c>
      <c r="AA33" s="1535">
        <f t="shared" si="3"/>
        <v>1</v>
      </c>
      <c r="AB33" s="1535">
        <f t="shared" si="4"/>
        <v>1</v>
      </c>
      <c r="AC33" s="1535">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328"/>
      <c r="Q34" s="1534">
        <f t="shared" si="11"/>
        <v>111</v>
      </c>
      <c r="R34" s="712" t="s">
        <v>17</v>
      </c>
      <c r="S34" s="713">
        <f t="shared" si="12"/>
        <v>100</v>
      </c>
      <c r="T34" s="712" t="s">
        <v>17</v>
      </c>
      <c r="U34" s="713">
        <f t="shared" si="13"/>
        <v>100</v>
      </c>
      <c r="V34" s="712" t="s">
        <v>17</v>
      </c>
      <c r="W34" s="713">
        <f t="shared" si="14"/>
        <v>100</v>
      </c>
      <c r="X34" s="1537"/>
      <c r="Y34" s="3328"/>
      <c r="Z34" s="1538">
        <f t="shared" si="15"/>
        <v>111</v>
      </c>
      <c r="AA34" s="1535">
        <f t="shared" si="3"/>
        <v>1</v>
      </c>
      <c r="AB34" s="1535">
        <f t="shared" si="4"/>
        <v>1</v>
      </c>
      <c r="AC34" s="1535">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328"/>
      <c r="Q35" s="714">
        <f t="shared" si="11"/>
        <v>111</v>
      </c>
      <c r="R35" s="715" t="s">
        <v>17</v>
      </c>
      <c r="S35" s="716">
        <f t="shared" si="12"/>
        <v>100</v>
      </c>
      <c r="T35" s="715" t="s">
        <v>17</v>
      </c>
      <c r="U35" s="716">
        <f t="shared" si="13"/>
        <v>100</v>
      </c>
      <c r="V35" s="715" t="s">
        <v>17</v>
      </c>
      <c r="W35" s="716">
        <f t="shared" si="14"/>
        <v>100</v>
      </c>
      <c r="X35" s="717"/>
      <c r="Y35" s="3328"/>
      <c r="Z35" s="718">
        <f t="shared" si="15"/>
        <v>111</v>
      </c>
      <c r="AA35" s="1535">
        <f t="shared" si="3"/>
        <v>1</v>
      </c>
      <c r="AB35" s="1535">
        <f t="shared" si="4"/>
        <v>1</v>
      </c>
      <c r="AC35" s="1535">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328"/>
      <c r="Q36" s="1534">
        <f t="shared" si="11"/>
        <v>111</v>
      </c>
      <c r="R36" s="712" t="s">
        <v>17</v>
      </c>
      <c r="S36" s="713">
        <f t="shared" si="12"/>
        <v>100</v>
      </c>
      <c r="T36" s="712" t="s">
        <v>17</v>
      </c>
      <c r="U36" s="713">
        <f t="shared" si="13"/>
        <v>100</v>
      </c>
      <c r="V36" s="712" t="s">
        <v>17</v>
      </c>
      <c r="W36" s="713">
        <f t="shared" si="14"/>
        <v>100</v>
      </c>
      <c r="X36" s="1537"/>
      <c r="Y36" s="3328"/>
      <c r="Z36" s="1538">
        <f t="shared" si="15"/>
        <v>111</v>
      </c>
      <c r="AA36" s="1535">
        <f t="shared" si="3"/>
        <v>1</v>
      </c>
      <c r="AB36" s="1535">
        <f t="shared" si="4"/>
        <v>1</v>
      </c>
      <c r="AC36" s="1535">
        <f t="shared" si="5"/>
        <v>1</v>
      </c>
    </row>
    <row r="37" spans="1:29" ht="15">
      <c r="A37" s="437" t="s">
        <v>2541</v>
      </c>
      <c r="B37" s="2157" t="s">
        <v>2542</v>
      </c>
      <c r="C37" s="1314" t="s">
        <v>1</v>
      </c>
      <c r="D37" s="1315"/>
      <c r="E37" s="1316"/>
      <c r="F37" s="1317"/>
      <c r="G37" s="1318"/>
      <c r="H37" s="1319"/>
      <c r="I37" s="1316"/>
      <c r="J37" s="1319"/>
      <c r="K37" s="574"/>
      <c r="L37" s="2951"/>
      <c r="M37" s="2952"/>
      <c r="N37" s="2943"/>
      <c r="O37" s="2952"/>
      <c r="P37" s="3321" t="str">
        <f>A37</f>
        <v>成交单价</v>
      </c>
      <c r="Q37" s="3321"/>
      <c r="R37" s="3322">
        <f>E37</f>
        <v>0</v>
      </c>
      <c r="S37" s="3322"/>
      <c r="T37" s="3322">
        <f>G37</f>
        <v>0</v>
      </c>
      <c r="U37" s="3322"/>
      <c r="V37" s="3322">
        <f>I37</f>
        <v>0</v>
      </c>
      <c r="W37" s="3322"/>
      <c r="X37" s="697"/>
      <c r="Y37" s="719"/>
      <c r="Z37" s="697"/>
      <c r="AA37" s="697"/>
      <c r="AB37" s="697"/>
      <c r="AC37" s="697"/>
    </row>
    <row r="38" spans="1:29" ht="15.75" thickBot="1">
      <c r="A38" s="444" t="s">
        <v>2543</v>
      </c>
      <c r="B38" s="445" t="str">
        <f>B37</f>
        <v>元/车位</v>
      </c>
      <c r="C38" s="1320" t="e">
        <f>R39</f>
        <v>#DIV/0!</v>
      </c>
      <c r="D38" s="2536" t="s">
        <v>2880</v>
      </c>
      <c r="E38" s="1321" t="e">
        <f>R38</f>
        <v>#DIV/0!</v>
      </c>
      <c r="F38" s="2537"/>
      <c r="G38" s="1320" t="e">
        <f>T38</f>
        <v>#DIV/0!</v>
      </c>
      <c r="H38" s="2537"/>
      <c r="I38" s="1321" t="e">
        <f>V38</f>
        <v>#DIV/0!</v>
      </c>
      <c r="J38" s="2537"/>
      <c r="K38" s="2539">
        <f>F38+H38+J38</f>
        <v>0</v>
      </c>
      <c r="L38" s="2951"/>
      <c r="M38" s="2952"/>
      <c r="N38" s="2952"/>
      <c r="O38" s="2952"/>
      <c r="P38" s="3321" t="str">
        <f>A38</f>
        <v>比较价值（元/平方米）</v>
      </c>
      <c r="Q38" s="3321"/>
      <c r="R38" s="3322" t="e">
        <f>IF(F1="售价",ROUND(PRODUCT(R37,AA7:AA36),0),ROUND(PRODUCT(R37,AA7:AA36),1))</f>
        <v>#DIV/0!</v>
      </c>
      <c r="S38" s="3322"/>
      <c r="T38" s="3322" t="e">
        <f>IF(F1="售价",ROUND(PRODUCT(T37,AB7:AB36),0),ROUND(PRODUCT(T37,AB7:AB36),1))</f>
        <v>#DIV/0!</v>
      </c>
      <c r="U38" s="3322"/>
      <c r="V38" s="3322" t="e">
        <f>IF(F1="售价",ROUND(PRODUCT(V37,AC7:AC36),0),ROUND(PRODUCT(V37,AC7:AC36),1))</f>
        <v>#DIV/0!</v>
      </c>
      <c r="W38" s="3322"/>
      <c r="X38" s="697"/>
      <c r="Y38" s="697"/>
      <c r="Z38" s="697"/>
      <c r="AA38" s="697"/>
      <c r="AB38" s="697"/>
      <c r="AC38" s="697"/>
    </row>
    <row r="39" spans="1:29" ht="15.75" thickBot="1">
      <c r="A39" s="448" t="s">
        <v>2544</v>
      </c>
      <c r="B39" s="449"/>
      <c r="C39" s="1323" t="e">
        <f>R39</f>
        <v>#DIV/0!</v>
      </c>
      <c r="D39" s="1323"/>
      <c r="E39" s="1323"/>
      <c r="F39" s="1323"/>
      <c r="G39" s="1323"/>
      <c r="H39" s="1323"/>
      <c r="I39" s="1323"/>
      <c r="J39" s="1323"/>
      <c r="K39" s="575"/>
      <c r="L39" s="2951"/>
      <c r="M39" s="2952"/>
      <c r="N39" s="2952"/>
      <c r="O39" s="2952"/>
      <c r="P39" s="3318" t="str">
        <f>A39</f>
        <v>估价对象XX用房的比较价值（楼面单价，元/平方米）</v>
      </c>
      <c r="Q39" s="3319"/>
      <c r="R39" s="3350" t="e">
        <f>IF(F1="售价",ROUND(IF(D38="简单平均",AVERAGE(R38:W38),R38*F38+T38*H38+V38*J38),0),ROUND(IF(D38="简单平均",AVERAGE(R38:V38),R38*F38+T38*H38+V38*J38),1))</f>
        <v>#DIV/0!</v>
      </c>
      <c r="S39" s="3350"/>
      <c r="T39" s="3350"/>
      <c r="U39" s="3350"/>
      <c r="V39" s="3350"/>
      <c r="W39" s="3350"/>
      <c r="X39" s="697"/>
      <c r="Y39" s="697"/>
      <c r="Z39" s="697"/>
      <c r="AA39" s="697"/>
      <c r="AB39" s="697"/>
      <c r="AC39" s="697"/>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6"/>
      <c r="C47" s="1069"/>
      <c r="D47" s="1069"/>
      <c r="E47" s="1069"/>
      <c r="F47" s="1327"/>
      <c r="G47" s="1327"/>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4" customFormat="1" ht="15">
      <c r="A48" s="461" t="s">
        <v>2549</v>
      </c>
      <c r="B48" s="462"/>
      <c r="C48" s="1344" t="str">
        <f>YEAR(C7)&amp;"-"&amp;MONTH(C7)</f>
        <v>2021-12</v>
      </c>
      <c r="D48" s="1345">
        <f>EDATE(C48,-1)</f>
        <v>44501</v>
      </c>
      <c r="E48" s="1345">
        <f t="shared" ref="E48:O48" si="16">EDATE(D48,-1)</f>
        <v>44470</v>
      </c>
      <c r="F48" s="1345">
        <f t="shared" si="16"/>
        <v>44440</v>
      </c>
      <c r="G48" s="1345">
        <f t="shared" si="16"/>
        <v>44409</v>
      </c>
      <c r="H48" s="1345">
        <f t="shared" si="16"/>
        <v>44378</v>
      </c>
      <c r="I48" s="1345">
        <f t="shared" si="16"/>
        <v>44348</v>
      </c>
      <c r="J48" s="1345">
        <f t="shared" si="16"/>
        <v>44317</v>
      </c>
      <c r="K48" s="1345">
        <f t="shared" si="16"/>
        <v>44287</v>
      </c>
      <c r="L48" s="1345">
        <f t="shared" si="16"/>
        <v>44256</v>
      </c>
      <c r="M48" s="1345">
        <f t="shared" si="16"/>
        <v>44228</v>
      </c>
      <c r="N48" s="1345">
        <f t="shared" si="16"/>
        <v>44197</v>
      </c>
      <c r="O48" s="1345">
        <f t="shared" si="16"/>
        <v>44166</v>
      </c>
      <c r="P48" s="2986"/>
      <c r="Q48" s="2968"/>
      <c r="R48" s="2968"/>
      <c r="S48" s="2968"/>
      <c r="T48" s="2968"/>
      <c r="U48" s="2968"/>
      <c r="V48" s="2968"/>
      <c r="W48" s="2968"/>
      <c r="X48" s="2968"/>
      <c r="Y48" s="2968"/>
      <c r="Z48" s="2968"/>
      <c r="AA48" s="2968"/>
      <c r="AB48" s="2968"/>
      <c r="AC48" s="2968"/>
    </row>
    <row r="49" spans="1:29" s="113" customFormat="1" ht="15">
      <c r="A49" s="465"/>
      <c r="B49" s="466"/>
      <c r="C49" s="1337">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3" customFormat="1" ht="15.75" thickBot="1">
      <c r="A50" s="471" t="s">
        <v>2406</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3" customFormat="1" ht="15">
      <c r="A51" s="477" t="s">
        <v>2371</v>
      </c>
      <c r="B51" s="466"/>
      <c r="C51" s="478" t="s">
        <v>2473</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3" customFormat="1" ht="15.75" thickBot="1">
      <c r="A52" s="477"/>
      <c r="B52" s="466"/>
      <c r="C52" s="593">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2409</v>
      </c>
      <c r="B53" s="484" t="s">
        <v>2375</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4">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2424</v>
      </c>
      <c r="C65" s="534" t="s">
        <v>2418</v>
      </c>
      <c r="D65" s="534" t="s">
        <v>2419</v>
      </c>
      <c r="E65" s="534" t="s">
        <v>2420</v>
      </c>
      <c r="F65" s="534" t="s">
        <v>2421</v>
      </c>
      <c r="G65" s="534" t="s">
        <v>2422</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2510</v>
      </c>
      <c r="C67" s="614" t="s">
        <v>2496</v>
      </c>
      <c r="D67" s="614" t="s">
        <v>2497</v>
      </c>
      <c r="E67" s="614" t="s">
        <v>2498</v>
      </c>
      <c r="F67" s="614" t="s">
        <v>2499</v>
      </c>
      <c r="G67" s="614" t="s">
        <v>2500</v>
      </c>
      <c r="H67" s="495"/>
      <c r="I67" s="495"/>
      <c r="J67" s="495"/>
      <c r="K67" s="495"/>
      <c r="L67" s="495"/>
      <c r="M67" s="1289"/>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2430</v>
      </c>
      <c r="C69" s="534" t="s">
        <v>2418</v>
      </c>
      <c r="D69" s="534" t="s">
        <v>2419</v>
      </c>
      <c r="E69" s="534" t="s">
        <v>2420</v>
      </c>
      <c r="F69" s="534" t="s">
        <v>2421</v>
      </c>
      <c r="G69" s="534" t="s">
        <v>2422</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2550</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3"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2384</v>
      </c>
      <c r="B79" s="484" t="s">
        <v>2551</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2552</v>
      </c>
      <c r="C81" s="615"/>
      <c r="D81" s="615"/>
      <c r="E81" s="615"/>
      <c r="F81" s="615"/>
      <c r="G81" s="615"/>
      <c r="H81" s="615"/>
      <c r="I81" s="615"/>
      <c r="J81" s="615"/>
      <c r="K81" s="616"/>
      <c r="L81" s="617"/>
      <c r="M81" s="618"/>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2437</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7"/>
      <c r="J86" s="577"/>
      <c r="K86" s="578"/>
      <c r="L86" s="579"/>
      <c r="M86" s="580"/>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2554</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2556</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2557</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0">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5"/>
      <c r="D2" s="1036" t="e">
        <f ca="1">SUMIF(INDIRECT("'"&amp;F2&amp;"'"&amp;"!A:A"),"承租人权益价值",INDIRECT("'"&amp;F2&amp;"'"&amp;"!c:c"))</f>
        <v>#REF!</v>
      </c>
      <c r="E2" s="2066" t="s">
        <v>2149</v>
      </c>
      <c r="F2" s="2067"/>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60" t="s">
        <v>2466</v>
      </c>
      <c r="B4" s="361"/>
      <c r="C4" s="3304" t="s">
        <v>2467</v>
      </c>
      <c r="D4" s="3305"/>
      <c r="E4" s="3306" t="s">
        <v>2468</v>
      </c>
      <c r="F4" s="3307"/>
      <c r="G4" s="3304" t="s">
        <v>2469</v>
      </c>
      <c r="H4" s="3305"/>
      <c r="I4" s="3304" t="s">
        <v>2470</v>
      </c>
      <c r="J4" s="3305"/>
      <c r="K4" s="566" t="s">
        <v>2471</v>
      </c>
      <c r="L4" s="2942"/>
      <c r="M4" s="2943"/>
      <c r="N4" s="2943"/>
      <c r="O4" s="2943"/>
      <c r="P4" s="3308" t="s">
        <v>2472</v>
      </c>
      <c r="Q4" s="3309"/>
      <c r="R4" s="3291" t="s">
        <v>2468</v>
      </c>
      <c r="S4" s="3292"/>
      <c r="T4" s="3291" t="s">
        <v>2469</v>
      </c>
      <c r="U4" s="3292"/>
      <c r="V4" s="3316" t="s">
        <v>2470</v>
      </c>
      <c r="W4" s="3316"/>
      <c r="X4" s="1537"/>
      <c r="Y4" s="3291" t="s">
        <v>2472</v>
      </c>
      <c r="Z4" s="3292"/>
      <c r="AA4" s="3286" t="s">
        <v>2468</v>
      </c>
      <c r="AB4" s="3287" t="s">
        <v>2469</v>
      </c>
      <c r="AC4" s="3286" t="s">
        <v>2470</v>
      </c>
    </row>
    <row r="5" spans="1:29" ht="15">
      <c r="A5" s="363"/>
      <c r="B5" s="364"/>
      <c r="C5" s="3297" t="s">
        <v>2363</v>
      </c>
      <c r="D5" s="3298"/>
      <c r="E5" s="3295" t="s">
        <v>2364</v>
      </c>
      <c r="F5" s="3296"/>
      <c r="G5" s="3297" t="s">
        <v>2365</v>
      </c>
      <c r="H5" s="3298"/>
      <c r="I5" s="3297" t="s">
        <v>2366</v>
      </c>
      <c r="J5" s="3298"/>
      <c r="K5" s="566"/>
      <c r="L5" s="2942"/>
      <c r="M5" s="2943"/>
      <c r="N5" s="2943"/>
      <c r="O5" s="2943"/>
      <c r="P5" s="3310"/>
      <c r="Q5" s="3311"/>
      <c r="R5" s="3293"/>
      <c r="S5" s="3294"/>
      <c r="T5" s="3293"/>
      <c r="U5" s="3294"/>
      <c r="V5" s="3316"/>
      <c r="W5" s="3316"/>
      <c r="X5" s="1537"/>
      <c r="Y5" s="3293"/>
      <c r="Z5" s="3294"/>
      <c r="AA5" s="3287"/>
      <c r="AB5" s="3287"/>
      <c r="AC5" s="3287"/>
    </row>
    <row r="6" spans="1:29" ht="15.75" thickBot="1">
      <c r="A6" s="365"/>
      <c r="B6" s="366"/>
      <c r="C6" s="3299" t="s">
        <v>2367</v>
      </c>
      <c r="D6" s="3300"/>
      <c r="E6" s="3301" t="s">
        <v>2367</v>
      </c>
      <c r="F6" s="3302"/>
      <c r="G6" s="3299" t="s">
        <v>2367</v>
      </c>
      <c r="H6" s="3300"/>
      <c r="I6" s="3299" t="s">
        <v>2367</v>
      </c>
      <c r="J6" s="3300"/>
      <c r="K6" s="566" t="s">
        <v>2368</v>
      </c>
      <c r="L6" s="2942"/>
      <c r="M6" s="2943"/>
      <c r="N6" s="2943"/>
      <c r="O6" s="2943"/>
      <c r="P6" s="3312"/>
      <c r="Q6" s="3313"/>
      <c r="R6" s="3293"/>
      <c r="S6" s="3294"/>
      <c r="T6" s="3314"/>
      <c r="U6" s="3315"/>
      <c r="V6" s="3316"/>
      <c r="W6" s="3316"/>
      <c r="X6" s="1537"/>
      <c r="Y6" s="3314"/>
      <c r="Z6" s="3315"/>
      <c r="AA6" s="3288"/>
      <c r="AB6" s="3288"/>
      <c r="AC6" s="3288"/>
    </row>
    <row r="7" spans="1:29" s="113" customFormat="1" ht="15.75" thickBot="1">
      <c r="A7" s="367" t="s">
        <v>2369</v>
      </c>
      <c r="B7" s="368"/>
      <c r="C7" s="369">
        <f>'数据-取费表'!B2</f>
        <v>44544</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289" t="s">
        <v>2370</v>
      </c>
      <c r="Q7" s="3317"/>
      <c r="R7" s="708" t="s">
        <v>17</v>
      </c>
      <c r="S7" s="709">
        <f t="shared" ref="S7:S14" si="0">F7</f>
        <v>0</v>
      </c>
      <c r="T7" s="708" t="s">
        <v>17</v>
      </c>
      <c r="U7" s="709">
        <f t="shared" ref="U7:U14" si="1">H7</f>
        <v>0</v>
      </c>
      <c r="V7" s="708" t="s">
        <v>17</v>
      </c>
      <c r="W7" s="709">
        <f t="shared" ref="W7:W14" si="2">J7</f>
        <v>0</v>
      </c>
      <c r="X7" s="710"/>
      <c r="Y7" s="3289" t="s">
        <v>2370</v>
      </c>
      <c r="Z7" s="3290"/>
      <c r="AA7" s="711" t="e">
        <f>D7/F7</f>
        <v>#DIV/0!</v>
      </c>
      <c r="AB7" s="711" t="e">
        <f>D7/H7</f>
        <v>#DIV/0!</v>
      </c>
      <c r="AC7" s="711"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289" t="s">
        <v>2373</v>
      </c>
      <c r="Q8" s="3290"/>
      <c r="R8" s="708" t="s">
        <v>17</v>
      </c>
      <c r="S8" s="709">
        <f t="shared" si="0"/>
        <v>0</v>
      </c>
      <c r="T8" s="708" t="s">
        <v>17</v>
      </c>
      <c r="U8" s="709">
        <f t="shared" si="1"/>
        <v>0</v>
      </c>
      <c r="V8" s="708" t="s">
        <v>17</v>
      </c>
      <c r="W8" s="709">
        <f t="shared" si="2"/>
        <v>0</v>
      </c>
      <c r="X8" s="710"/>
      <c r="Y8" s="3289" t="s">
        <v>2373</v>
      </c>
      <c r="Z8" s="3290"/>
      <c r="AA8" s="711" t="e">
        <f t="shared" ref="AA8:AA34" si="3">D8/F8</f>
        <v>#DIV/0!</v>
      </c>
      <c r="AB8" s="711" t="e">
        <f t="shared" ref="AB8:AB34" si="4">D8/H8</f>
        <v>#DIV/0!</v>
      </c>
      <c r="AC8" s="711"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321" t="s">
        <v>2376</v>
      </c>
      <c r="Q9" s="1525" t="str">
        <f t="shared" ref="Q9:Q14" si="6">B9</f>
        <v>用途</v>
      </c>
      <c r="R9" s="708" t="s">
        <v>17</v>
      </c>
      <c r="S9" s="709">
        <f t="shared" si="0"/>
        <v>100</v>
      </c>
      <c r="T9" s="708" t="s">
        <v>17</v>
      </c>
      <c r="U9" s="709">
        <f t="shared" si="1"/>
        <v>100</v>
      </c>
      <c r="V9" s="708" t="s">
        <v>17</v>
      </c>
      <c r="W9" s="709">
        <f t="shared" si="2"/>
        <v>100</v>
      </c>
      <c r="X9" s="710"/>
      <c r="Y9" s="3231" t="s">
        <v>2377</v>
      </c>
      <c r="Z9" s="55" t="str">
        <f t="shared" ref="Z9:Z14" si="7">Q9</f>
        <v>用途</v>
      </c>
      <c r="AA9" s="711">
        <f t="shared" si="3"/>
        <v>1</v>
      </c>
      <c r="AB9" s="711">
        <f t="shared" si="4"/>
        <v>1</v>
      </c>
      <c r="AC9" s="711">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321"/>
      <c r="Q10" s="1525" t="str">
        <f t="shared" si="6"/>
        <v>土地使用年限（年）</v>
      </c>
      <c r="R10" s="708" t="s">
        <v>17</v>
      </c>
      <c r="S10" s="709">
        <f t="shared" si="0"/>
        <v>100</v>
      </c>
      <c r="T10" s="708" t="s">
        <v>17</v>
      </c>
      <c r="U10" s="709">
        <f t="shared" si="1"/>
        <v>100</v>
      </c>
      <c r="V10" s="708" t="s">
        <v>17</v>
      </c>
      <c r="W10" s="709">
        <f t="shared" si="2"/>
        <v>100</v>
      </c>
      <c r="X10" s="710"/>
      <c r="Y10" s="3231"/>
      <c r="Z10" s="55" t="str">
        <f t="shared" si="7"/>
        <v>土地使用年限（年）</v>
      </c>
      <c r="AA10" s="711">
        <f t="shared" si="3"/>
        <v>1</v>
      </c>
      <c r="AB10" s="711">
        <f t="shared" si="4"/>
        <v>1</v>
      </c>
      <c r="AC10" s="711">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321"/>
      <c r="Q11" s="1525">
        <f t="shared" si="6"/>
        <v>111</v>
      </c>
      <c r="R11" s="708" t="s">
        <v>17</v>
      </c>
      <c r="S11" s="709">
        <f t="shared" si="0"/>
        <v>100</v>
      </c>
      <c r="T11" s="708" t="s">
        <v>17</v>
      </c>
      <c r="U11" s="709">
        <f t="shared" si="1"/>
        <v>100</v>
      </c>
      <c r="V11" s="708" t="s">
        <v>17</v>
      </c>
      <c r="W11" s="709">
        <f t="shared" si="2"/>
        <v>100</v>
      </c>
      <c r="X11" s="710"/>
      <c r="Y11" s="3231"/>
      <c r="Z11" s="55">
        <f t="shared" si="7"/>
        <v>111</v>
      </c>
      <c r="AA11" s="711">
        <f t="shared" si="3"/>
        <v>1</v>
      </c>
      <c r="AB11" s="711">
        <f t="shared" si="4"/>
        <v>1</v>
      </c>
      <c r="AC11" s="711">
        <f t="shared" si="5"/>
        <v>1</v>
      </c>
    </row>
    <row r="12" spans="1:29" s="113"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321"/>
      <c r="Q12" s="1525">
        <f t="shared" si="6"/>
        <v>111</v>
      </c>
      <c r="R12" s="708" t="s">
        <v>17</v>
      </c>
      <c r="S12" s="709">
        <f t="shared" si="0"/>
        <v>100</v>
      </c>
      <c r="T12" s="708" t="s">
        <v>17</v>
      </c>
      <c r="U12" s="709">
        <f t="shared" si="1"/>
        <v>100</v>
      </c>
      <c r="V12" s="708" t="s">
        <v>17</v>
      </c>
      <c r="W12" s="709">
        <f t="shared" si="2"/>
        <v>100</v>
      </c>
      <c r="X12" s="710"/>
      <c r="Y12" s="3231"/>
      <c r="Z12" s="55">
        <f t="shared" si="7"/>
        <v>111</v>
      </c>
      <c r="AA12" s="711">
        <f>D12/F12</f>
        <v>1</v>
      </c>
      <c r="AB12" s="711">
        <f>D12/H12</f>
        <v>1</v>
      </c>
      <c r="AC12" s="711">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321"/>
      <c r="Q13" s="1525">
        <f t="shared" si="6"/>
        <v>111</v>
      </c>
      <c r="R13" s="708" t="s">
        <v>17</v>
      </c>
      <c r="S13" s="709">
        <f t="shared" si="0"/>
        <v>100</v>
      </c>
      <c r="T13" s="708" t="s">
        <v>17</v>
      </c>
      <c r="U13" s="709">
        <f t="shared" si="1"/>
        <v>100</v>
      </c>
      <c r="V13" s="708" t="s">
        <v>17</v>
      </c>
      <c r="W13" s="709">
        <f t="shared" si="2"/>
        <v>100</v>
      </c>
      <c r="X13" s="710"/>
      <c r="Y13" s="3231"/>
      <c r="Z13" s="55">
        <f t="shared" si="7"/>
        <v>111</v>
      </c>
      <c r="AA13" s="711">
        <f t="shared" si="3"/>
        <v>1</v>
      </c>
      <c r="AB13" s="711">
        <f t="shared" si="4"/>
        <v>1</v>
      </c>
      <c r="AC13" s="711">
        <f t="shared" si="5"/>
        <v>1</v>
      </c>
    </row>
    <row r="14" spans="1:29" ht="15">
      <c r="A14" s="398" t="s">
        <v>2380</v>
      </c>
      <c r="B14" s="65" t="s">
        <v>2530</v>
      </c>
      <c r="C14" s="2155">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323" t="s">
        <v>2381</v>
      </c>
      <c r="Q14" s="1534" t="str">
        <f t="shared" si="6"/>
        <v>交通便捷度</v>
      </c>
      <c r="R14" s="712" t="s">
        <v>17</v>
      </c>
      <c r="S14" s="713">
        <f t="shared" si="0"/>
        <v>100</v>
      </c>
      <c r="T14" s="712" t="s">
        <v>17</v>
      </c>
      <c r="U14" s="713">
        <f t="shared" si="1"/>
        <v>100</v>
      </c>
      <c r="V14" s="712" t="s">
        <v>17</v>
      </c>
      <c r="W14" s="713">
        <f t="shared" si="2"/>
        <v>100</v>
      </c>
      <c r="X14" s="1537"/>
      <c r="Y14" s="3323"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9"/>
      <c r="M15" s="2943"/>
      <c r="N15" s="2943"/>
      <c r="O15" s="3001"/>
      <c r="P15" s="3324"/>
      <c r="Q15" s="1534"/>
      <c r="R15" s="712"/>
      <c r="S15" s="713"/>
      <c r="T15" s="712"/>
      <c r="U15" s="713"/>
      <c r="V15" s="712"/>
      <c r="W15" s="713"/>
      <c r="X15" s="1537"/>
      <c r="Y15" s="3324"/>
      <c r="Z15" s="1538"/>
      <c r="AA15" s="1535">
        <v>1</v>
      </c>
      <c r="AB15" s="1535">
        <v>1</v>
      </c>
      <c r="AC15" s="1535">
        <v>1</v>
      </c>
    </row>
    <row r="16" spans="1:29" ht="15">
      <c r="A16" s="386"/>
      <c r="B16" s="409" t="s">
        <v>2509</v>
      </c>
      <c r="C16" s="2084">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324"/>
      <c r="Q16" s="1534" t="str">
        <f>B16</f>
        <v>公共配套设施</v>
      </c>
      <c r="R16" s="712" t="s">
        <v>17</v>
      </c>
      <c r="S16" s="713">
        <f>F16</f>
        <v>100</v>
      </c>
      <c r="T16" s="712" t="s">
        <v>17</v>
      </c>
      <c r="U16" s="713">
        <f>H16</f>
        <v>100</v>
      </c>
      <c r="V16" s="712" t="s">
        <v>17</v>
      </c>
      <c r="W16" s="713">
        <f>J16</f>
        <v>100</v>
      </c>
      <c r="X16" s="1537"/>
      <c r="Y16" s="3324"/>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9"/>
      <c r="M17" s="2943"/>
      <c r="N17" s="2943"/>
      <c r="O17" s="3001"/>
      <c r="P17" s="3324"/>
      <c r="Q17" s="1534"/>
      <c r="R17" s="712"/>
      <c r="S17" s="713"/>
      <c r="T17" s="712"/>
      <c r="U17" s="713"/>
      <c r="V17" s="712"/>
      <c r="W17" s="713"/>
      <c r="X17" s="1537"/>
      <c r="Y17" s="3324"/>
      <c r="Z17" s="1538"/>
      <c r="AA17" s="1535">
        <v>1</v>
      </c>
      <c r="AB17" s="1535">
        <v>1</v>
      </c>
      <c r="AC17" s="1535">
        <v>1</v>
      </c>
    </row>
    <row r="18" spans="1:29" ht="15">
      <c r="A18" s="386"/>
      <c r="B18" s="1291" t="s">
        <v>2510</v>
      </c>
      <c r="C18" s="2084">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324"/>
      <c r="Q18" s="1534" t="str">
        <f>B18</f>
        <v>基础设施水平</v>
      </c>
      <c r="R18" s="712" t="s">
        <v>17</v>
      </c>
      <c r="S18" s="713">
        <f>F18</f>
        <v>100</v>
      </c>
      <c r="T18" s="712" t="s">
        <v>17</v>
      </c>
      <c r="U18" s="713">
        <f>H18</f>
        <v>100</v>
      </c>
      <c r="V18" s="712" t="s">
        <v>17</v>
      </c>
      <c r="W18" s="713">
        <f>J18</f>
        <v>100</v>
      </c>
      <c r="X18" s="1537"/>
      <c r="Y18" s="3324"/>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9"/>
      <c r="M19" s="2943"/>
      <c r="N19" s="2943"/>
      <c r="O19" s="3001"/>
      <c r="P19" s="3324"/>
      <c r="Q19" s="1534"/>
      <c r="R19" s="712"/>
      <c r="S19" s="713"/>
      <c r="T19" s="712"/>
      <c r="U19" s="713"/>
      <c r="V19" s="712"/>
      <c r="W19" s="713"/>
      <c r="X19" s="1537"/>
      <c r="Y19" s="3324"/>
      <c r="Z19" s="1538"/>
      <c r="AA19" s="1535">
        <v>1</v>
      </c>
      <c r="AB19" s="1535">
        <v>1</v>
      </c>
      <c r="AC19" s="1535">
        <v>1</v>
      </c>
    </row>
    <row r="20" spans="1:29" ht="15">
      <c r="A20" s="386"/>
      <c r="B20" s="409" t="s">
        <v>2531</v>
      </c>
      <c r="C20" s="2084">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324"/>
      <c r="Q20" s="1534" t="str">
        <f>B20</f>
        <v>自然及人文环境</v>
      </c>
      <c r="R20" s="712" t="s">
        <v>17</v>
      </c>
      <c r="S20" s="713">
        <f>F20</f>
        <v>100</v>
      </c>
      <c r="T20" s="712" t="s">
        <v>17</v>
      </c>
      <c r="U20" s="713">
        <f>H20</f>
        <v>100</v>
      </c>
      <c r="V20" s="712" t="s">
        <v>17</v>
      </c>
      <c r="W20" s="713">
        <f>J20</f>
        <v>100</v>
      </c>
      <c r="X20" s="1537"/>
      <c r="Y20" s="3324"/>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9"/>
      <c r="M21" s="2943"/>
      <c r="N21" s="2943"/>
      <c r="O21" s="3001"/>
      <c r="P21" s="3324"/>
      <c r="Q21" s="1534"/>
      <c r="R21" s="712"/>
      <c r="S21" s="713"/>
      <c r="T21" s="712"/>
      <c r="U21" s="713"/>
      <c r="V21" s="712"/>
      <c r="W21" s="713"/>
      <c r="X21" s="1537"/>
      <c r="Y21" s="3324"/>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324"/>
      <c r="Q22" s="1534" t="str">
        <f>B22</f>
        <v>楼层</v>
      </c>
      <c r="R22" s="712" t="s">
        <v>17</v>
      </c>
      <c r="S22" s="713">
        <f>F22</f>
        <v>100</v>
      </c>
      <c r="T22" s="712" t="s">
        <v>17</v>
      </c>
      <c r="U22" s="713">
        <f>H22</f>
        <v>100</v>
      </c>
      <c r="V22" s="712" t="s">
        <v>17</v>
      </c>
      <c r="W22" s="713">
        <f>J22</f>
        <v>100</v>
      </c>
      <c r="X22" s="1537"/>
      <c r="Y22" s="3324"/>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324"/>
      <c r="Q23" s="1534">
        <f>B23</f>
        <v>111</v>
      </c>
      <c r="R23" s="712" t="s">
        <v>17</v>
      </c>
      <c r="S23" s="713">
        <f>F23</f>
        <v>100</v>
      </c>
      <c r="T23" s="712" t="s">
        <v>17</v>
      </c>
      <c r="U23" s="713">
        <f>H23</f>
        <v>100</v>
      </c>
      <c r="V23" s="712" t="s">
        <v>17</v>
      </c>
      <c r="W23" s="713">
        <f>J23</f>
        <v>100</v>
      </c>
      <c r="X23" s="1537"/>
      <c r="Y23" s="3324"/>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324"/>
      <c r="Q24" s="1534">
        <f t="shared" ref="Q24:Q34" si="11">B24</f>
        <v>111</v>
      </c>
      <c r="R24" s="712" t="s">
        <v>17</v>
      </c>
      <c r="S24" s="713">
        <f>F24</f>
        <v>100</v>
      </c>
      <c r="T24" s="712" t="s">
        <v>17</v>
      </c>
      <c r="U24" s="713">
        <f>H24</f>
        <v>100</v>
      </c>
      <c r="V24" s="712" t="s">
        <v>17</v>
      </c>
      <c r="W24" s="713">
        <f>J24</f>
        <v>100</v>
      </c>
      <c r="X24" s="1537"/>
      <c r="Y24" s="3324"/>
      <c r="Z24" s="1538">
        <f>Q24</f>
        <v>111</v>
      </c>
      <c r="AA24" s="1535">
        <f t="shared" si="3"/>
        <v>1</v>
      </c>
      <c r="AB24" s="1535">
        <f t="shared" si="4"/>
        <v>1</v>
      </c>
      <c r="AC24" s="1535">
        <f t="shared" si="5"/>
        <v>1</v>
      </c>
    </row>
    <row r="25" spans="1:29" s="113" customFormat="1" ht="15.75" thickBot="1">
      <c r="A25" s="389"/>
      <c r="B25" s="2077">
        <v>111</v>
      </c>
      <c r="C25" s="2160"/>
      <c r="D25" s="619">
        <v>100</v>
      </c>
      <c r="E25" s="2160"/>
      <c r="F25" s="620">
        <f>SUMIF(75:75,E25,76:76)-SUMIF(75:75,C25,76:76)+100</f>
        <v>100</v>
      </c>
      <c r="G25" s="2160"/>
      <c r="H25" s="619">
        <f>SUMIF(75:75,G25,76:76)-SUMIF(75:75,C25,76:76)+100</f>
        <v>100</v>
      </c>
      <c r="I25" s="2160"/>
      <c r="J25" s="619">
        <f>SUMIF(75:75,I25,76:76)-SUMIF(75:75,C25,76:76)+100</f>
        <v>100</v>
      </c>
      <c r="K25" s="569"/>
      <c r="L25" s="2944"/>
      <c r="M25" s="2945"/>
      <c r="N25" s="2945"/>
      <c r="O25" s="2999"/>
      <c r="P25" s="3324"/>
      <c r="Q25" s="1525">
        <f t="shared" si="11"/>
        <v>111</v>
      </c>
      <c r="R25" s="708" t="s">
        <v>17</v>
      </c>
      <c r="S25" s="709">
        <f>F25</f>
        <v>100</v>
      </c>
      <c r="T25" s="708" t="s">
        <v>17</v>
      </c>
      <c r="U25" s="709">
        <f>H25</f>
        <v>100</v>
      </c>
      <c r="V25" s="708" t="s">
        <v>17</v>
      </c>
      <c r="W25" s="709">
        <f>J25</f>
        <v>100</v>
      </c>
      <c r="X25" s="710"/>
      <c r="Y25" s="3324"/>
      <c r="Z25" s="55">
        <f>Q25</f>
        <v>111</v>
      </c>
      <c r="AA25" s="1535">
        <f>D25/F25</f>
        <v>1</v>
      </c>
      <c r="AB25" s="1535">
        <f>D25/H25</f>
        <v>1</v>
      </c>
      <c r="AC25" s="1535">
        <f>D25/J25</f>
        <v>1</v>
      </c>
    </row>
    <row r="26" spans="1:29" ht="28.5">
      <c r="A26" s="424" t="s">
        <v>2384</v>
      </c>
      <c r="B26" s="67" t="s">
        <v>2535</v>
      </c>
      <c r="C26" s="2151"/>
      <c r="D26" s="425">
        <v>100</v>
      </c>
      <c r="E26" s="2151"/>
      <c r="F26" s="621">
        <f>SUMIF(77:77,E26,78:78)-SUMIF(77:77,C26,78:78)+100</f>
        <v>100</v>
      </c>
      <c r="G26" s="2151"/>
      <c r="H26" s="425">
        <f>SUMIF(77:77,G26,78:78)-SUMIF(77:77,C26,78:78)+100</f>
        <v>100</v>
      </c>
      <c r="I26" s="2151"/>
      <c r="J26" s="425">
        <f>SUMIF(77:77,I26,78:78)-SUMIF(77:77,C26,78:78)+100</f>
        <v>100</v>
      </c>
      <c r="K26" s="568"/>
      <c r="L26" s="2949"/>
      <c r="M26" s="2943"/>
      <c r="N26" s="2943"/>
      <c r="O26" s="3001"/>
      <c r="P26" s="3349" t="s">
        <v>2386</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28"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328"/>
      <c r="Q27" s="714" t="str">
        <f t="shared" si="11"/>
        <v>成新率</v>
      </c>
      <c r="R27" s="715" t="s">
        <v>17</v>
      </c>
      <c r="S27" s="716" t="e">
        <f t="shared" si="12"/>
        <v>#N/A</v>
      </c>
      <c r="T27" s="715" t="s">
        <v>17</v>
      </c>
      <c r="U27" s="716" t="e">
        <f t="shared" si="13"/>
        <v>#N/A</v>
      </c>
      <c r="V27" s="715" t="s">
        <v>17</v>
      </c>
      <c r="W27" s="716" t="e">
        <f t="shared" si="14"/>
        <v>#N/A</v>
      </c>
      <c r="X27" s="717"/>
      <c r="Y27" s="3328"/>
      <c r="Z27" s="718"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328"/>
      <c r="Q28" s="1534" t="str">
        <f t="shared" si="11"/>
        <v>物业等级</v>
      </c>
      <c r="R28" s="712" t="s">
        <v>17</v>
      </c>
      <c r="S28" s="713">
        <f t="shared" si="12"/>
        <v>100</v>
      </c>
      <c r="T28" s="712" t="s">
        <v>17</v>
      </c>
      <c r="U28" s="713">
        <f t="shared" si="13"/>
        <v>100</v>
      </c>
      <c r="V28" s="712" t="s">
        <v>17</v>
      </c>
      <c r="W28" s="713">
        <f t="shared" si="14"/>
        <v>100</v>
      </c>
      <c r="X28" s="1537"/>
      <c r="Y28" s="3328"/>
      <c r="Z28" s="1538" t="str">
        <f t="shared" si="15"/>
        <v>物业等级</v>
      </c>
      <c r="AA28" s="1535">
        <f t="shared" si="3"/>
        <v>1</v>
      </c>
      <c r="AB28" s="1535">
        <f t="shared" si="4"/>
        <v>1</v>
      </c>
      <c r="AC28" s="1535">
        <f t="shared" si="5"/>
        <v>1</v>
      </c>
    </row>
    <row r="29" spans="1:29" ht="15">
      <c r="A29" s="430"/>
      <c r="B29" s="380" t="s">
        <v>2558</v>
      </c>
      <c r="C29" s="611"/>
      <c r="D29" s="393">
        <v>100</v>
      </c>
      <c r="E29" s="611"/>
      <c r="F29" s="419">
        <f>SUMIF(84:84,E29,85:85)-SUMIF(84:84,C29,85:85)+100</f>
        <v>100</v>
      </c>
      <c r="G29" s="611"/>
      <c r="H29" s="393">
        <f>SUMIF(84:84,G29,85:85)-SUMIF(84:84,C29,85:85)+100</f>
        <v>100</v>
      </c>
      <c r="I29" s="611"/>
      <c r="J29" s="393">
        <f>SUMIF(84:84,I29,85:85)-SUMIF(84:84,C29,85:85)+100</f>
        <v>100</v>
      </c>
      <c r="K29" s="568"/>
      <c r="L29" s="2949"/>
      <c r="M29" s="2943"/>
      <c r="N29" s="2943"/>
      <c r="O29" s="3001"/>
      <c r="P29" s="3328"/>
      <c r="Q29" s="1534" t="str">
        <f t="shared" si="11"/>
        <v>有无电梯</v>
      </c>
      <c r="R29" s="712" t="s">
        <v>17</v>
      </c>
      <c r="S29" s="713">
        <f t="shared" si="12"/>
        <v>100</v>
      </c>
      <c r="T29" s="712" t="s">
        <v>17</v>
      </c>
      <c r="U29" s="713">
        <f t="shared" si="13"/>
        <v>100</v>
      </c>
      <c r="V29" s="712" t="s">
        <v>17</v>
      </c>
      <c r="W29" s="713">
        <f t="shared" si="14"/>
        <v>100</v>
      </c>
      <c r="X29" s="1537"/>
      <c r="Y29" s="3328"/>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328"/>
      <c r="Q30" s="1534" t="str">
        <f t="shared" si="11"/>
        <v>建筑面积</v>
      </c>
      <c r="R30" s="712" t="s">
        <v>17</v>
      </c>
      <c r="S30" s="713" t="e">
        <f t="shared" si="12"/>
        <v>#N/A</v>
      </c>
      <c r="T30" s="712" t="s">
        <v>17</v>
      </c>
      <c r="U30" s="713" t="e">
        <f t="shared" si="13"/>
        <v>#N/A</v>
      </c>
      <c r="V30" s="712" t="s">
        <v>17</v>
      </c>
      <c r="W30" s="713" t="e">
        <f t="shared" si="14"/>
        <v>#N/A</v>
      </c>
      <c r="X30" s="1537"/>
      <c r="Y30" s="3328"/>
      <c r="Z30" s="1538" t="str">
        <f t="shared" si="15"/>
        <v>建筑面积</v>
      </c>
      <c r="AA30" s="1535" t="e">
        <f t="shared" si="3"/>
        <v>#N/A</v>
      </c>
      <c r="AB30" s="1535" t="e">
        <f t="shared" si="4"/>
        <v>#N/A</v>
      </c>
      <c r="AC30" s="1535" t="e">
        <f t="shared" si="5"/>
        <v>#N/A</v>
      </c>
    </row>
    <row r="31" spans="1:29" s="113" customFormat="1" ht="15">
      <c r="A31" s="431"/>
      <c r="B31" s="380" t="s">
        <v>2560</v>
      </c>
      <c r="C31" s="611"/>
      <c r="D31" s="131">
        <v>100</v>
      </c>
      <c r="E31" s="611"/>
      <c r="F31" s="419">
        <f>SUMIF(89:89,E31,90:90)-SUMIF(89:89,C31,90:90)+100</f>
        <v>100</v>
      </c>
      <c r="G31" s="611"/>
      <c r="H31" s="393">
        <f>SUMIF(89:89,G31,90:90)-SUMIF(89:89,C31,90:90)+100</f>
        <v>100</v>
      </c>
      <c r="I31" s="611"/>
      <c r="J31" s="393">
        <f>SUMIF(89:89,I31,90:90)-SUMIF(89:89,C31,90:90)+100</f>
        <v>100</v>
      </c>
      <c r="K31" s="568"/>
      <c r="L31" s="2944"/>
      <c r="M31" s="2945"/>
      <c r="N31" s="2945"/>
      <c r="O31" s="2999"/>
      <c r="P31" s="3328"/>
      <c r="Q31" s="1525" t="str">
        <f t="shared" si="11"/>
        <v>是否封闭</v>
      </c>
      <c r="R31" s="708" t="s">
        <v>17</v>
      </c>
      <c r="S31" s="709">
        <f t="shared" si="12"/>
        <v>100</v>
      </c>
      <c r="T31" s="708" t="s">
        <v>17</v>
      </c>
      <c r="U31" s="709">
        <f t="shared" si="13"/>
        <v>100</v>
      </c>
      <c r="V31" s="708" t="s">
        <v>17</v>
      </c>
      <c r="W31" s="709">
        <f t="shared" si="14"/>
        <v>100</v>
      </c>
      <c r="X31" s="710"/>
      <c r="Y31" s="3328"/>
      <c r="Z31" s="55" t="str">
        <f t="shared" si="15"/>
        <v>是否封闭</v>
      </c>
      <c r="AA31" s="711">
        <f t="shared" si="3"/>
        <v>1</v>
      </c>
      <c r="AB31" s="711">
        <f t="shared" si="4"/>
        <v>1</v>
      </c>
      <c r="AC31" s="711">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328" t="s">
        <v>2386</v>
      </c>
      <c r="Q32" s="1534">
        <f t="shared" si="11"/>
        <v>111</v>
      </c>
      <c r="R32" s="712" t="s">
        <v>17</v>
      </c>
      <c r="S32" s="713">
        <f t="shared" si="12"/>
        <v>100</v>
      </c>
      <c r="T32" s="712" t="s">
        <v>17</v>
      </c>
      <c r="U32" s="713">
        <f t="shared" si="13"/>
        <v>100</v>
      </c>
      <c r="V32" s="712" t="s">
        <v>17</v>
      </c>
      <c r="W32" s="713">
        <f t="shared" si="14"/>
        <v>100</v>
      </c>
      <c r="X32" s="1537"/>
      <c r="Y32" s="3328"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328"/>
      <c r="Q33" s="1534">
        <f t="shared" si="11"/>
        <v>111</v>
      </c>
      <c r="R33" s="712" t="s">
        <v>17</v>
      </c>
      <c r="S33" s="713">
        <f t="shared" si="12"/>
        <v>100</v>
      </c>
      <c r="T33" s="712" t="s">
        <v>17</v>
      </c>
      <c r="U33" s="713">
        <f t="shared" si="13"/>
        <v>100</v>
      </c>
      <c r="V33" s="712" t="s">
        <v>17</v>
      </c>
      <c r="W33" s="713">
        <f t="shared" si="14"/>
        <v>100</v>
      </c>
      <c r="X33" s="1537"/>
      <c r="Y33" s="3328"/>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328"/>
      <c r="Q34" s="1534">
        <f t="shared" si="11"/>
        <v>111</v>
      </c>
      <c r="R34" s="712" t="s">
        <v>17</v>
      </c>
      <c r="S34" s="713">
        <f t="shared" si="12"/>
        <v>100</v>
      </c>
      <c r="T34" s="712" t="s">
        <v>17</v>
      </c>
      <c r="U34" s="713">
        <f t="shared" si="13"/>
        <v>100</v>
      </c>
      <c r="V34" s="712" t="s">
        <v>17</v>
      </c>
      <c r="W34" s="713">
        <f t="shared" si="14"/>
        <v>100</v>
      </c>
      <c r="X34" s="1537"/>
      <c r="Y34" s="3328"/>
      <c r="Z34" s="1538">
        <f t="shared" si="15"/>
        <v>111</v>
      </c>
      <c r="AA34" s="1535">
        <f t="shared" si="3"/>
        <v>1</v>
      </c>
      <c r="AB34" s="1535">
        <f t="shared" si="4"/>
        <v>1</v>
      </c>
      <c r="AC34" s="1535">
        <f t="shared" si="5"/>
        <v>1</v>
      </c>
    </row>
    <row r="35" spans="1:30" ht="15">
      <c r="A35" s="437" t="s">
        <v>2398</v>
      </c>
      <c r="B35" s="438"/>
      <c r="C35" s="1314" t="s">
        <v>1</v>
      </c>
      <c r="D35" s="1315"/>
      <c r="E35" s="1316"/>
      <c r="F35" s="1317"/>
      <c r="G35" s="1318"/>
      <c r="H35" s="1319"/>
      <c r="I35" s="1316"/>
      <c r="J35" s="1319"/>
      <c r="K35" s="721"/>
      <c r="L35" s="2951"/>
      <c r="M35" s="2952"/>
      <c r="N35" s="2943"/>
      <c r="O35" s="2952"/>
      <c r="P35" s="3321" t="str">
        <f>A35</f>
        <v>成交单价（元/平方米）</v>
      </c>
      <c r="Q35" s="3321"/>
      <c r="R35" s="3322">
        <f>E35</f>
        <v>0</v>
      </c>
      <c r="S35" s="3322"/>
      <c r="T35" s="3322">
        <f>G35</f>
        <v>0</v>
      </c>
      <c r="U35" s="3322"/>
      <c r="V35" s="3322">
        <f>I35</f>
        <v>0</v>
      </c>
      <c r="W35" s="3322"/>
      <c r="X35" s="697"/>
      <c r="Y35" s="719"/>
      <c r="Z35" s="697"/>
      <c r="AA35" s="697"/>
      <c r="AB35" s="697"/>
      <c r="AC35" s="697"/>
    </row>
    <row r="36" spans="1:30" ht="15.75" thickBot="1">
      <c r="A36" s="444" t="s">
        <v>2490</v>
      </c>
      <c r="B36" s="445"/>
      <c r="C36" s="1320" t="e">
        <f>R37</f>
        <v>#DIV/0!</v>
      </c>
      <c r="D36" s="2536" t="s">
        <v>2880</v>
      </c>
      <c r="E36" s="1321" t="e">
        <f>R36</f>
        <v>#DIV/0!</v>
      </c>
      <c r="F36" s="2537"/>
      <c r="G36" s="1320" t="e">
        <f>T36</f>
        <v>#DIV/0!</v>
      </c>
      <c r="H36" s="2537"/>
      <c r="I36" s="1321" t="e">
        <f>V36</f>
        <v>#DIV/0!</v>
      </c>
      <c r="J36" s="2537"/>
      <c r="K36" s="2539">
        <f>F36+H36+J36</f>
        <v>0</v>
      </c>
      <c r="L36" s="2951"/>
      <c r="M36" s="2952"/>
      <c r="N36" s="2943"/>
      <c r="O36" s="2952"/>
      <c r="P36" s="3321" t="str">
        <f>A36</f>
        <v>比较价值（元/平方米）</v>
      </c>
      <c r="Q36" s="3321"/>
      <c r="R36" s="3322" t="e">
        <f>IF(F1="售价",ROUND(PRODUCT(R35,AA7:AA34),0),ROUND(PRODUCT(R35,AA7:AA34),1))</f>
        <v>#DIV/0!</v>
      </c>
      <c r="S36" s="3322"/>
      <c r="T36" s="3322" t="e">
        <f>IF(F1="售价",ROUND(PRODUCT(T35,AB7:AB34),0),ROUND(PRODUCT(T35,AB7:AB34),1))</f>
        <v>#DIV/0!</v>
      </c>
      <c r="U36" s="3322"/>
      <c r="V36" s="3322" t="e">
        <f>IF(F1="售价",ROUND(PRODUCT(V35,AC7:AC34),0),ROUND(PRODUCT(V35,AC7:AC34),1))</f>
        <v>#DIV/0!</v>
      </c>
      <c r="W36" s="3322"/>
      <c r="X36" s="697"/>
      <c r="Y36" s="697"/>
      <c r="Z36" s="697"/>
      <c r="AA36" s="697"/>
      <c r="AB36" s="697"/>
      <c r="AC36" s="697"/>
    </row>
    <row r="37" spans="1:30" ht="15.75" thickBot="1">
      <c r="A37" s="448" t="s">
        <v>2491</v>
      </c>
      <c r="B37" s="449"/>
      <c r="C37" s="1323" t="e">
        <f>R37</f>
        <v>#DIV/0!</v>
      </c>
      <c r="D37" s="1323"/>
      <c r="E37" s="1323"/>
      <c r="F37" s="1323"/>
      <c r="G37" s="1323"/>
      <c r="H37" s="1323"/>
      <c r="I37" s="1323"/>
      <c r="J37" s="1323"/>
      <c r="K37" s="722"/>
      <c r="L37" s="2951"/>
      <c r="M37" s="2952"/>
      <c r="N37" s="2952"/>
      <c r="O37" s="2952"/>
      <c r="P37" s="3318" t="str">
        <f>A37</f>
        <v>估价对象XX用房的比较价值（楼面单价，元/平方米）</v>
      </c>
      <c r="Q37" s="3319"/>
      <c r="R37" s="3350" t="e">
        <f>IF(F1="售价",ROUND(IF(D36="简单平均",AVERAGE(R36:W36),R36*F36+T36*H36+V36*J36),0),ROUND(IF(D36="简单平均",AVERAGE(R36:V36),R36*F36+T36*H36+V36*J36),1))</f>
        <v>#DIV/0!</v>
      </c>
      <c r="S37" s="3350"/>
      <c r="T37" s="3350"/>
      <c r="U37" s="3350"/>
      <c r="V37" s="3350"/>
      <c r="W37" s="3350"/>
      <c r="X37" s="697"/>
      <c r="Y37" s="697"/>
      <c r="Z37" s="697"/>
      <c r="AA37" s="697"/>
      <c r="AB37" s="697"/>
      <c r="AC37" s="697"/>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1" t="s">
        <v>2495</v>
      </c>
      <c r="B45" s="697"/>
      <c r="C45" s="702"/>
      <c r="D45" s="702"/>
      <c r="E45" s="702"/>
      <c r="F45" s="703"/>
      <c r="G45" s="703"/>
      <c r="H45" s="702"/>
      <c r="I45" s="702"/>
      <c r="J45" s="702"/>
      <c r="K45" s="704"/>
      <c r="L45" s="705"/>
      <c r="M45" s="702"/>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2369</v>
      </c>
      <c r="B46" s="462"/>
      <c r="C46" s="1344" t="str">
        <f>YEAR(C7)&amp;"-"&amp;MONTH(C7)</f>
        <v>2021-12</v>
      </c>
      <c r="D46" s="1345">
        <f>EDATE(C46,-1)</f>
        <v>44501</v>
      </c>
      <c r="E46" s="1345">
        <f t="shared" ref="E46:O46" si="16">EDATE(D46,-1)</f>
        <v>44470</v>
      </c>
      <c r="F46" s="1345">
        <f t="shared" si="16"/>
        <v>44440</v>
      </c>
      <c r="G46" s="1345">
        <f t="shared" si="16"/>
        <v>44409</v>
      </c>
      <c r="H46" s="1345">
        <f t="shared" si="16"/>
        <v>44378</v>
      </c>
      <c r="I46" s="1345">
        <f t="shared" si="16"/>
        <v>44348</v>
      </c>
      <c r="J46" s="1345">
        <f t="shared" si="16"/>
        <v>44317</v>
      </c>
      <c r="K46" s="1345">
        <f t="shared" si="16"/>
        <v>44287</v>
      </c>
      <c r="L46" s="1345">
        <f t="shared" si="16"/>
        <v>44256</v>
      </c>
      <c r="M46" s="1345">
        <f t="shared" si="16"/>
        <v>44228</v>
      </c>
      <c r="N46" s="1345">
        <f t="shared" si="16"/>
        <v>44197</v>
      </c>
      <c r="O46" s="1345">
        <f t="shared" si="16"/>
        <v>44166</v>
      </c>
      <c r="P46" s="3003"/>
      <c r="Q46" s="2968"/>
      <c r="R46" s="2968"/>
      <c r="S46" s="2968"/>
      <c r="T46" s="2968"/>
      <c r="U46" s="2968"/>
      <c r="V46" s="2968"/>
      <c r="W46" s="2968"/>
      <c r="X46" s="2968"/>
      <c r="Y46" s="2968"/>
      <c r="Z46" s="2968"/>
      <c r="AA46" s="2968"/>
      <c r="AB46" s="2968"/>
      <c r="AC46" s="2968"/>
      <c r="AD46" s="2968"/>
    </row>
    <row r="47" spans="1:30" s="113"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3" customFormat="1" ht="15.75" thickBot="1">
      <c r="A48" s="471" t="s">
        <v>2406</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3" customFormat="1" ht="15">
      <c r="A49" s="477" t="s">
        <v>2371</v>
      </c>
      <c r="B49" s="466"/>
      <c r="C49" s="478" t="s">
        <v>2473</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7"/>
      <c r="B50" s="466"/>
      <c r="C50" s="593">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2409</v>
      </c>
      <c r="B51" s="484" t="s">
        <v>2375</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4">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2561</v>
      </c>
      <c r="C63" s="534" t="s">
        <v>2418</v>
      </c>
      <c r="D63" s="534" t="s">
        <v>2419</v>
      </c>
      <c r="E63" s="534" t="s">
        <v>2420</v>
      </c>
      <c r="F63" s="534" t="s">
        <v>2421</v>
      </c>
      <c r="G63" s="534" t="s">
        <v>2422</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2510</v>
      </c>
      <c r="C65" s="614" t="s">
        <v>2496</v>
      </c>
      <c r="D65" s="614" t="s">
        <v>2497</v>
      </c>
      <c r="E65" s="614" t="s">
        <v>2498</v>
      </c>
      <c r="F65" s="614" t="s">
        <v>2499</v>
      </c>
      <c r="G65" s="614" t="s">
        <v>2500</v>
      </c>
      <c r="H65" s="495"/>
      <c r="I65" s="495"/>
      <c r="J65" s="495"/>
      <c r="K65" s="495"/>
      <c r="L65" s="495"/>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2430</v>
      </c>
      <c r="C67" s="534" t="s">
        <v>2418</v>
      </c>
      <c r="D67" s="534" t="s">
        <v>2419</v>
      </c>
      <c r="E67" s="534" t="s">
        <v>2420</v>
      </c>
      <c r="F67" s="534" t="s">
        <v>2421</v>
      </c>
      <c r="G67" s="534" t="s">
        <v>2422</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2550</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2384</v>
      </c>
      <c r="B77" s="484" t="s">
        <v>2437</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4"/>
      <c r="J80" s="614"/>
      <c r="K80" s="622"/>
      <c r="L80" s="623"/>
      <c r="M80" s="624"/>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2554</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2562</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2564</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0">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2148</v>
      </c>
      <c r="B2" s="625" t="e">
        <f>F66</f>
        <v>#DIV/0!</v>
      </c>
      <c r="C2" s="1036"/>
      <c r="D2" s="1036"/>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c r="AD2" s="356"/>
    </row>
    <row r="3" spans="1:30" s="357" customFormat="1" ht="28.5" customHeight="1" thickBot="1">
      <c r="A3" s="208" t="s">
        <v>2150</v>
      </c>
      <c r="B3" s="565" t="e">
        <f>ROUND(IF(D3="",B2*10000/'数据-汇总表'!E3,B2*10000/D3),0)</f>
        <v>#DIV/0!</v>
      </c>
      <c r="C3" s="208" t="s">
        <v>2567</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30" ht="15">
      <c r="A4" s="360" t="s">
        <v>2466</v>
      </c>
      <c r="B4" s="361"/>
      <c r="C4" s="3304" t="s">
        <v>2467</v>
      </c>
      <c r="D4" s="3305"/>
      <c r="E4" s="3306" t="s">
        <v>2468</v>
      </c>
      <c r="F4" s="3307"/>
      <c r="G4" s="3304" t="s">
        <v>2469</v>
      </c>
      <c r="H4" s="3305"/>
      <c r="I4" s="3304" t="s">
        <v>2470</v>
      </c>
      <c r="J4" s="3305"/>
      <c r="K4" s="566" t="s">
        <v>2471</v>
      </c>
      <c r="L4" s="2942"/>
      <c r="M4" s="2943"/>
      <c r="N4" s="2943"/>
      <c r="O4" s="2943"/>
      <c r="P4" s="3308" t="s">
        <v>2472</v>
      </c>
      <c r="Q4" s="3309"/>
      <c r="R4" s="3291" t="s">
        <v>2468</v>
      </c>
      <c r="S4" s="3292"/>
      <c r="T4" s="3291" t="s">
        <v>2469</v>
      </c>
      <c r="U4" s="3292"/>
      <c r="V4" s="3316" t="s">
        <v>2470</v>
      </c>
      <c r="W4" s="3316"/>
      <c r="X4" s="1537"/>
      <c r="Y4" s="3291" t="s">
        <v>2472</v>
      </c>
      <c r="Z4" s="3292"/>
      <c r="AA4" s="3286" t="s">
        <v>2468</v>
      </c>
      <c r="AB4" s="3287" t="s">
        <v>2469</v>
      </c>
      <c r="AC4" s="3286" t="s">
        <v>2470</v>
      </c>
    </row>
    <row r="5" spans="1:30" ht="15">
      <c r="A5" s="363"/>
      <c r="B5" s="364"/>
      <c r="C5" s="3297" t="s">
        <v>2363</v>
      </c>
      <c r="D5" s="3298"/>
      <c r="E5" s="3295" t="s">
        <v>2364</v>
      </c>
      <c r="F5" s="3296"/>
      <c r="G5" s="3297" t="s">
        <v>2365</v>
      </c>
      <c r="H5" s="3298"/>
      <c r="I5" s="3297" t="s">
        <v>2366</v>
      </c>
      <c r="J5" s="3298"/>
      <c r="K5" s="566"/>
      <c r="L5" s="2942"/>
      <c r="M5" s="2943"/>
      <c r="N5" s="2943"/>
      <c r="O5" s="2943"/>
      <c r="P5" s="3310"/>
      <c r="Q5" s="3311"/>
      <c r="R5" s="3293"/>
      <c r="S5" s="3294"/>
      <c r="T5" s="3293"/>
      <c r="U5" s="3294"/>
      <c r="V5" s="3316"/>
      <c r="W5" s="3316"/>
      <c r="X5" s="1537"/>
      <c r="Y5" s="3293"/>
      <c r="Z5" s="3294"/>
      <c r="AA5" s="3287"/>
      <c r="AB5" s="3287"/>
      <c r="AC5" s="3287"/>
    </row>
    <row r="6" spans="1:30" ht="15.75" thickBot="1">
      <c r="A6" s="365"/>
      <c r="B6" s="366"/>
      <c r="C6" s="3299" t="s">
        <v>2367</v>
      </c>
      <c r="D6" s="3300"/>
      <c r="E6" s="3301" t="s">
        <v>2367</v>
      </c>
      <c r="F6" s="3302"/>
      <c r="G6" s="3299" t="s">
        <v>2367</v>
      </c>
      <c r="H6" s="3300"/>
      <c r="I6" s="3299" t="s">
        <v>2367</v>
      </c>
      <c r="J6" s="3300"/>
      <c r="K6" s="566" t="s">
        <v>2368</v>
      </c>
      <c r="L6" s="2942"/>
      <c r="M6" s="2943"/>
      <c r="N6" s="2943"/>
      <c r="O6" s="2943"/>
      <c r="P6" s="3312"/>
      <c r="Q6" s="3313"/>
      <c r="R6" s="3293"/>
      <c r="S6" s="3294"/>
      <c r="T6" s="3314"/>
      <c r="U6" s="3315"/>
      <c r="V6" s="3316"/>
      <c r="W6" s="3316"/>
      <c r="X6" s="1537"/>
      <c r="Y6" s="3314"/>
      <c r="Z6" s="3315"/>
      <c r="AA6" s="3288"/>
      <c r="AB6" s="3288"/>
      <c r="AC6" s="3288"/>
    </row>
    <row r="7" spans="1:30" s="113" customFormat="1" ht="15.75" thickBot="1">
      <c r="A7" s="367" t="s">
        <v>2369</v>
      </c>
      <c r="B7" s="368"/>
      <c r="C7" s="369">
        <f>'数据-取费表'!B2</f>
        <v>44544</v>
      </c>
      <c r="D7" s="370">
        <v>100</v>
      </c>
      <c r="E7" s="371"/>
      <c r="F7" s="372">
        <f>SUMIF(70:70,YEAR(E7)&amp;"-"&amp;INT((MONTH(E7)+2)/3),71:71)</f>
        <v>0</v>
      </c>
      <c r="G7" s="2158"/>
      <c r="H7" s="370">
        <f>SUMIF(70:70,YEAR(G7)&amp;"-"&amp;INT((MONTH(G7)+2)/3),71:71)</f>
        <v>0</v>
      </c>
      <c r="I7" s="2158"/>
      <c r="J7" s="370">
        <f>SUMIF(70:70,YEAR(I7)&amp;"-"&amp;INT((MONTH(I7)+2)/3),71:71)</f>
        <v>0</v>
      </c>
      <c r="K7" s="567"/>
      <c r="L7" s="2944"/>
      <c r="M7" s="2945"/>
      <c r="N7" s="2945"/>
      <c r="O7" s="2945"/>
      <c r="P7" s="3289" t="s">
        <v>2370</v>
      </c>
      <c r="Q7" s="3317"/>
      <c r="R7" s="708" t="s">
        <v>17</v>
      </c>
      <c r="S7" s="709">
        <f t="shared" ref="S7:S15" si="0">F7</f>
        <v>0</v>
      </c>
      <c r="T7" s="708" t="s">
        <v>17</v>
      </c>
      <c r="U7" s="709">
        <f t="shared" ref="U7:U15" si="1">H7</f>
        <v>0</v>
      </c>
      <c r="V7" s="708" t="s">
        <v>17</v>
      </c>
      <c r="W7" s="709">
        <f t="shared" ref="W7:W15" si="2">J7</f>
        <v>0</v>
      </c>
      <c r="X7" s="710"/>
      <c r="Y7" s="3289" t="s">
        <v>2370</v>
      </c>
      <c r="Z7" s="3290"/>
      <c r="AA7" s="711" t="e">
        <f>D7/F7</f>
        <v>#DIV/0!</v>
      </c>
      <c r="AB7" s="711" t="e">
        <f>D7/H7</f>
        <v>#DIV/0!</v>
      </c>
      <c r="AC7" s="711" t="e">
        <f>D7/J7</f>
        <v>#DIV/0!</v>
      </c>
    </row>
    <row r="8" spans="1:30" s="113"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4"/>
      <c r="M8" s="2945"/>
      <c r="N8" s="2945"/>
      <c r="O8" s="2945"/>
      <c r="P8" s="3289" t="s">
        <v>2373</v>
      </c>
      <c r="Q8" s="3290"/>
      <c r="R8" s="708" t="s">
        <v>17</v>
      </c>
      <c r="S8" s="709">
        <f t="shared" si="0"/>
        <v>0</v>
      </c>
      <c r="T8" s="708" t="s">
        <v>17</v>
      </c>
      <c r="U8" s="709">
        <f t="shared" si="1"/>
        <v>0</v>
      </c>
      <c r="V8" s="708" t="s">
        <v>17</v>
      </c>
      <c r="W8" s="709">
        <f t="shared" si="2"/>
        <v>0</v>
      </c>
      <c r="X8" s="710"/>
      <c r="Y8" s="3289" t="s">
        <v>2373</v>
      </c>
      <c r="Z8" s="3290"/>
      <c r="AA8" s="711" t="e">
        <f t="shared" ref="AA8:AA45" si="3">D8/F8</f>
        <v>#DIV/0!</v>
      </c>
      <c r="AB8" s="711" t="e">
        <f t="shared" ref="AB8:AB45" si="4">D8/H8</f>
        <v>#DIV/0!</v>
      </c>
      <c r="AC8" s="711" t="e">
        <f t="shared" ref="AC8:AC45" si="5">D8/J8</f>
        <v>#DIV/0!</v>
      </c>
    </row>
    <row r="9" spans="1:30" s="113" customFormat="1">
      <c r="A9" s="374" t="s">
        <v>2374</v>
      </c>
      <c r="B9" s="67" t="s">
        <v>2375</v>
      </c>
      <c r="C9" s="2161"/>
      <c r="D9" s="130">
        <v>100</v>
      </c>
      <c r="E9" s="2161"/>
      <c r="F9" s="130">
        <f>SUMIF(75:75,E9,76:76)-SUMIF(75:75,C9,76:76)+100</f>
        <v>100</v>
      </c>
      <c r="G9" s="2161"/>
      <c r="H9" s="130">
        <f>SUMIF(75:75,G9,76:76)-SUMIF(75:75,C9,76:76)+100</f>
        <v>100</v>
      </c>
      <c r="I9" s="2161"/>
      <c r="J9" s="130">
        <f>SUMIF(75:75,I9,76:76)-SUMIF(75:75,C9,76:76)+100</f>
        <v>100</v>
      </c>
      <c r="K9" s="567"/>
      <c r="L9" s="2944"/>
      <c r="M9" s="2945"/>
      <c r="N9" s="2945"/>
      <c r="O9" s="2999"/>
      <c r="P9" s="3321" t="s">
        <v>2376</v>
      </c>
      <c r="Q9" s="1525" t="str">
        <f t="shared" ref="Q9:Q15" si="6">B9</f>
        <v>用途</v>
      </c>
      <c r="R9" s="708" t="s">
        <v>17</v>
      </c>
      <c r="S9" s="709">
        <f t="shared" si="0"/>
        <v>100</v>
      </c>
      <c r="T9" s="708" t="s">
        <v>17</v>
      </c>
      <c r="U9" s="709">
        <f t="shared" si="1"/>
        <v>100</v>
      </c>
      <c r="V9" s="708" t="s">
        <v>17</v>
      </c>
      <c r="W9" s="709">
        <f t="shared" si="2"/>
        <v>100</v>
      </c>
      <c r="X9" s="710"/>
      <c r="Y9" s="3231" t="s">
        <v>2377</v>
      </c>
      <c r="Z9" s="55" t="str">
        <f t="shared" ref="Z9:Z15" si="7">Q9</f>
        <v>用途</v>
      </c>
      <c r="AA9" s="711">
        <f t="shared" si="3"/>
        <v>1</v>
      </c>
      <c r="AB9" s="711">
        <f t="shared" si="4"/>
        <v>1</v>
      </c>
      <c r="AC9" s="711">
        <f t="shared" si="5"/>
        <v>1</v>
      </c>
    </row>
    <row r="10" spans="1:30" s="385" customFormat="1" ht="27">
      <c r="A10" s="379"/>
      <c r="B10" s="380" t="s">
        <v>2378</v>
      </c>
      <c r="C10" s="390"/>
      <c r="D10" s="131">
        <v>100</v>
      </c>
      <c r="E10" s="423"/>
      <c r="F10" s="131">
        <f>ROUND(100/'数据-取费表'!G16,0)</f>
        <v>110</v>
      </c>
      <c r="G10" s="421"/>
      <c r="H10" s="131">
        <f>ROUND(100/'数据-取费表'!G16,0)</f>
        <v>110</v>
      </c>
      <c r="I10" s="421"/>
      <c r="J10" s="131">
        <f>ROUND(100/'数据-取费表'!G16,0)</f>
        <v>110</v>
      </c>
      <c r="K10" s="626"/>
      <c r="L10" s="2946"/>
      <c r="M10" s="2947"/>
      <c r="N10" s="2947"/>
      <c r="O10" s="3000"/>
      <c r="P10" s="3321"/>
      <c r="Q10" s="1525" t="str">
        <f t="shared" si="6"/>
        <v>土地使用年限（年）</v>
      </c>
      <c r="R10" s="708" t="s">
        <v>17</v>
      </c>
      <c r="S10" s="709">
        <f t="shared" si="0"/>
        <v>110</v>
      </c>
      <c r="T10" s="708" t="s">
        <v>17</v>
      </c>
      <c r="U10" s="709">
        <f t="shared" si="1"/>
        <v>110</v>
      </c>
      <c r="V10" s="708" t="s">
        <v>17</v>
      </c>
      <c r="W10" s="709">
        <f t="shared" si="2"/>
        <v>110</v>
      </c>
      <c r="X10" s="710"/>
      <c r="Y10" s="3231"/>
      <c r="Z10" s="55" t="str">
        <f t="shared" si="7"/>
        <v>土地使用年限（年）</v>
      </c>
      <c r="AA10" s="711">
        <f t="shared" si="3"/>
        <v>0.90909090909090906</v>
      </c>
      <c r="AB10" s="711">
        <f t="shared" si="4"/>
        <v>0.90909090909090906</v>
      </c>
      <c r="AC10" s="711">
        <f t="shared" si="5"/>
        <v>0.90909090909090906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7"/>
      <c r="L11" s="2948"/>
      <c r="M11" s="2943"/>
      <c r="N11" s="2943"/>
      <c r="O11" s="3001"/>
      <c r="P11" s="3321"/>
      <c r="Q11" s="1525" t="str">
        <f t="shared" si="6"/>
        <v>容积率</v>
      </c>
      <c r="R11" s="708" t="s">
        <v>17</v>
      </c>
      <c r="S11" s="709" t="e">
        <f t="shared" si="0"/>
        <v>#N/A</v>
      </c>
      <c r="T11" s="708" t="s">
        <v>17</v>
      </c>
      <c r="U11" s="709" t="e">
        <f t="shared" si="1"/>
        <v>#N/A</v>
      </c>
      <c r="V11" s="708" t="s">
        <v>17</v>
      </c>
      <c r="W11" s="709" t="e">
        <f t="shared" si="2"/>
        <v>#N/A</v>
      </c>
      <c r="X11" s="710"/>
      <c r="Y11" s="3231"/>
      <c r="Z11" s="55" t="str">
        <f t="shared" si="7"/>
        <v>容积率</v>
      </c>
      <c r="AA11" s="711" t="e">
        <f t="shared" si="3"/>
        <v>#N/A</v>
      </c>
      <c r="AB11" s="711" t="e">
        <f t="shared" si="4"/>
        <v>#N/A</v>
      </c>
      <c r="AC11" s="711" t="e">
        <f t="shared" si="5"/>
        <v>#N/A</v>
      </c>
    </row>
    <row r="12" spans="1:30" s="113"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6"/>
      <c r="L12" s="2944"/>
      <c r="M12" s="2945"/>
      <c r="N12" s="2945"/>
      <c r="O12" s="2999"/>
      <c r="P12" s="3321"/>
      <c r="Q12" s="1525" t="str">
        <f t="shared" si="6"/>
        <v>配建</v>
      </c>
      <c r="R12" s="708" t="s">
        <v>17</v>
      </c>
      <c r="S12" s="709">
        <f t="shared" si="0"/>
        <v>100</v>
      </c>
      <c r="T12" s="708" t="s">
        <v>17</v>
      </c>
      <c r="U12" s="709">
        <f t="shared" si="1"/>
        <v>100</v>
      </c>
      <c r="V12" s="708" t="s">
        <v>17</v>
      </c>
      <c r="W12" s="709">
        <f t="shared" si="2"/>
        <v>100</v>
      </c>
      <c r="X12" s="710"/>
      <c r="Y12" s="3231"/>
      <c r="Z12" s="55" t="str">
        <f t="shared" si="7"/>
        <v>配建</v>
      </c>
      <c r="AA12" s="711">
        <f>D12/F12</f>
        <v>1</v>
      </c>
      <c r="AB12" s="711">
        <f>D12/H12</f>
        <v>1</v>
      </c>
      <c r="AC12" s="711">
        <f>D12/J12</f>
        <v>1</v>
      </c>
    </row>
    <row r="13" spans="1:30" ht="15">
      <c r="A13" s="386"/>
      <c r="B13" s="2077">
        <v>111</v>
      </c>
      <c r="C13" s="392"/>
      <c r="D13" s="393">
        <v>100</v>
      </c>
      <c r="E13" s="505"/>
      <c r="F13" s="131">
        <f>SUMIF(84:84,E13,85:85)-SUMIF(84:84,C13,85:85)+100</f>
        <v>100</v>
      </c>
      <c r="G13" s="628"/>
      <c r="H13" s="393">
        <f>SUMIF(84:84,G13,85:85)-SUMIF(84:84,C13,85:85)+100</f>
        <v>100</v>
      </c>
      <c r="I13" s="628"/>
      <c r="J13" s="393">
        <f>SUMIF(84:84,I13,85:85)-SUMIF(84:84,C13,85:85)+100</f>
        <v>100</v>
      </c>
      <c r="K13" s="626"/>
      <c r="L13" s="2949"/>
      <c r="M13" s="2943"/>
      <c r="N13" s="2943"/>
      <c r="O13" s="3001"/>
      <c r="P13" s="3321"/>
      <c r="Q13" s="1525">
        <f t="shared" si="6"/>
        <v>111</v>
      </c>
      <c r="R13" s="708" t="s">
        <v>17</v>
      </c>
      <c r="S13" s="709">
        <f t="shared" si="0"/>
        <v>100</v>
      </c>
      <c r="T13" s="708" t="s">
        <v>17</v>
      </c>
      <c r="U13" s="709">
        <f t="shared" si="1"/>
        <v>100</v>
      </c>
      <c r="V13" s="708" t="s">
        <v>17</v>
      </c>
      <c r="W13" s="709">
        <f t="shared" si="2"/>
        <v>100</v>
      </c>
      <c r="X13" s="710"/>
      <c r="Y13" s="3231"/>
      <c r="Z13" s="55">
        <f t="shared" si="7"/>
        <v>111</v>
      </c>
      <c r="AA13" s="711">
        <f>D13/F13</f>
        <v>1</v>
      </c>
      <c r="AB13" s="711">
        <f>D13/H13</f>
        <v>1</v>
      </c>
      <c r="AC13" s="711">
        <f>D13/J13</f>
        <v>1</v>
      </c>
    </row>
    <row r="14" spans="1:30" ht="15.75" thickBot="1">
      <c r="A14" s="394"/>
      <c r="B14" s="2079">
        <v>111</v>
      </c>
      <c r="C14" s="395"/>
      <c r="D14" s="396">
        <v>100</v>
      </c>
      <c r="E14" s="505"/>
      <c r="F14" s="396">
        <f>SUMIF(86:86,E14,87:87)-SUMIF(86:86,C14,87:87)+100</f>
        <v>100</v>
      </c>
      <c r="G14" s="628"/>
      <c r="H14" s="396">
        <f>SUMIF(86:86,G14,87:87)-SUMIF(86:86,C14,87:87)+100</f>
        <v>100</v>
      </c>
      <c r="I14" s="628"/>
      <c r="J14" s="396">
        <f>SUMIF(86:86,I14,87:87)-SUMIF(86:86,C14,87:87)+100</f>
        <v>100</v>
      </c>
      <c r="K14" s="626"/>
      <c r="L14" s="2949"/>
      <c r="M14" s="2943"/>
      <c r="N14" s="2943"/>
      <c r="O14" s="3001"/>
      <c r="P14" s="3321"/>
      <c r="Q14" s="1525">
        <f t="shared" si="6"/>
        <v>111</v>
      </c>
      <c r="R14" s="708" t="s">
        <v>17</v>
      </c>
      <c r="S14" s="709">
        <f t="shared" si="0"/>
        <v>100</v>
      </c>
      <c r="T14" s="708" t="s">
        <v>17</v>
      </c>
      <c r="U14" s="709">
        <f t="shared" si="1"/>
        <v>100</v>
      </c>
      <c r="V14" s="708" t="s">
        <v>17</v>
      </c>
      <c r="W14" s="709">
        <f t="shared" si="2"/>
        <v>100</v>
      </c>
      <c r="X14" s="710"/>
      <c r="Y14" s="3231"/>
      <c r="Z14" s="55">
        <f t="shared" si="7"/>
        <v>111</v>
      </c>
      <c r="AA14" s="711">
        <f>D14/F14</f>
        <v>1</v>
      </c>
      <c r="AB14" s="711">
        <f>D14/H14</f>
        <v>1</v>
      </c>
      <c r="AC14" s="711">
        <f>D14/J14</f>
        <v>1</v>
      </c>
    </row>
    <row r="15" spans="1:30" ht="15">
      <c r="A15" s="398" t="s">
        <v>2380</v>
      </c>
      <c r="B15" s="65" t="s">
        <v>1943</v>
      </c>
      <c r="C15" s="2080">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49"/>
      <c r="M15" s="2943"/>
      <c r="N15" s="2943"/>
      <c r="O15" s="3001"/>
      <c r="P15" s="3323" t="s">
        <v>2381</v>
      </c>
      <c r="Q15" s="1534" t="str">
        <f t="shared" si="6"/>
        <v>居住社区成熟度</v>
      </c>
      <c r="R15" s="712" t="s">
        <v>17</v>
      </c>
      <c r="S15" s="713">
        <f t="shared" si="0"/>
        <v>100</v>
      </c>
      <c r="T15" s="712" t="s">
        <v>17</v>
      </c>
      <c r="U15" s="713">
        <f t="shared" si="1"/>
        <v>100</v>
      </c>
      <c r="V15" s="712" t="s">
        <v>17</v>
      </c>
      <c r="W15" s="713">
        <f t="shared" si="2"/>
        <v>100</v>
      </c>
      <c r="X15" s="1537"/>
      <c r="Y15" s="3323" t="s">
        <v>2381</v>
      </c>
      <c r="Z15" s="1538" t="str">
        <f t="shared" si="7"/>
        <v>居住社区成熟度</v>
      </c>
      <c r="AA15" s="1535">
        <f t="shared" si="3"/>
        <v>1</v>
      </c>
      <c r="AB15" s="1535">
        <f t="shared" si="4"/>
        <v>1</v>
      </c>
      <c r="AC15" s="1535">
        <f t="shared" si="5"/>
        <v>1</v>
      </c>
    </row>
    <row r="16" spans="1:30" ht="15">
      <c r="A16" s="386"/>
      <c r="B16" s="404"/>
      <c r="C16" s="405"/>
      <c r="D16" s="406"/>
      <c r="E16" s="2082"/>
      <c r="F16" s="406"/>
      <c r="G16" s="2082"/>
      <c r="H16" s="408"/>
      <c r="I16" s="2081"/>
      <c r="J16" s="406"/>
      <c r="K16" s="626"/>
      <c r="L16" s="2949"/>
      <c r="M16" s="2943"/>
      <c r="N16" s="2943"/>
      <c r="O16" s="3001"/>
      <c r="P16" s="3324"/>
      <c r="Q16" s="1534"/>
      <c r="R16" s="712"/>
      <c r="S16" s="713"/>
      <c r="T16" s="712"/>
      <c r="U16" s="713"/>
      <c r="V16" s="712"/>
      <c r="W16" s="713"/>
      <c r="X16" s="1537"/>
      <c r="Y16" s="3324"/>
      <c r="Z16" s="1538"/>
      <c r="AA16" s="1535">
        <v>1</v>
      </c>
      <c r="AB16" s="1535">
        <v>1</v>
      </c>
      <c r="AC16" s="1535">
        <v>1</v>
      </c>
    </row>
    <row r="17" spans="1:29" ht="15">
      <c r="A17" s="386"/>
      <c r="B17" s="409" t="s">
        <v>2474</v>
      </c>
      <c r="C17" s="2139">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49"/>
      <c r="M17" s="2943"/>
      <c r="N17" s="2943"/>
      <c r="O17" s="3001"/>
      <c r="P17" s="3324"/>
      <c r="Q17" s="1534" t="str">
        <f>B17</f>
        <v>商业繁华度</v>
      </c>
      <c r="R17" s="712" t="s">
        <v>17</v>
      </c>
      <c r="S17" s="713">
        <f>F17</f>
        <v>100</v>
      </c>
      <c r="T17" s="712" t="s">
        <v>17</v>
      </c>
      <c r="U17" s="713">
        <f>H17</f>
        <v>100</v>
      </c>
      <c r="V17" s="712" t="s">
        <v>17</v>
      </c>
      <c r="W17" s="713">
        <f>J17</f>
        <v>100</v>
      </c>
      <c r="X17" s="1537"/>
      <c r="Y17" s="3324"/>
      <c r="Z17" s="1538" t="str">
        <f>Q17</f>
        <v>商业繁华度</v>
      </c>
      <c r="AA17" s="1535">
        <f t="shared" si="3"/>
        <v>1</v>
      </c>
      <c r="AB17" s="1535">
        <f t="shared" si="4"/>
        <v>1</v>
      </c>
      <c r="AC17" s="1535">
        <f t="shared" si="5"/>
        <v>1</v>
      </c>
    </row>
    <row r="18" spans="1:29" ht="15">
      <c r="A18" s="386"/>
      <c r="B18" s="414"/>
      <c r="C18" s="2085"/>
      <c r="D18" s="408"/>
      <c r="E18" s="2087"/>
      <c r="F18" s="408"/>
      <c r="G18" s="2087"/>
      <c r="H18" s="406"/>
      <c r="I18" s="2086"/>
      <c r="J18" s="406"/>
      <c r="K18" s="626"/>
      <c r="L18" s="2949"/>
      <c r="M18" s="2943"/>
      <c r="N18" s="2943"/>
      <c r="O18" s="3001"/>
      <c r="P18" s="3324"/>
      <c r="Q18" s="1534"/>
      <c r="R18" s="712"/>
      <c r="S18" s="713"/>
      <c r="T18" s="712"/>
      <c r="U18" s="713"/>
      <c r="V18" s="712"/>
      <c r="W18" s="713"/>
      <c r="X18" s="1537"/>
      <c r="Y18" s="3324"/>
      <c r="Z18" s="1538"/>
      <c r="AA18" s="1535">
        <v>1</v>
      </c>
      <c r="AB18" s="1535">
        <v>1</v>
      </c>
      <c r="AC18" s="1535">
        <v>1</v>
      </c>
    </row>
    <row r="19" spans="1:29" ht="15">
      <c r="A19" s="386"/>
      <c r="B19" s="409" t="s">
        <v>2508</v>
      </c>
      <c r="C19" s="2139">
        <f>估价对象房地状况!C17</f>
        <v>0</v>
      </c>
      <c r="D19" s="413">
        <v>100</v>
      </c>
      <c r="E19" s="415"/>
      <c r="F19" s="413">
        <f>SUMIF(92:92,E20,93:93)-SUMIF(92:92,C20,93:93)+100</f>
        <v>100</v>
      </c>
      <c r="G19" s="415"/>
      <c r="H19" s="408">
        <f>SUMIF(92:92,G20,93:93)-SUMIF(92:92,C20,93:93)+100</f>
        <v>100</v>
      </c>
      <c r="I19" s="417"/>
      <c r="J19" s="408">
        <f>SUMIF(92:92,I20,93:93)-SUMIF(92:92,C20,93:93)+100</f>
        <v>100</v>
      </c>
      <c r="K19" s="627"/>
      <c r="L19" s="2949"/>
      <c r="M19" s="2943"/>
      <c r="N19" s="2943"/>
      <c r="O19" s="3001"/>
      <c r="P19" s="3324"/>
      <c r="Q19" s="1534" t="str">
        <f>B19</f>
        <v>办公集聚程度</v>
      </c>
      <c r="R19" s="712" t="s">
        <v>17</v>
      </c>
      <c r="S19" s="713">
        <f>F19</f>
        <v>100</v>
      </c>
      <c r="T19" s="712" t="s">
        <v>17</v>
      </c>
      <c r="U19" s="713">
        <f>H19</f>
        <v>100</v>
      </c>
      <c r="V19" s="712" t="s">
        <v>17</v>
      </c>
      <c r="W19" s="713">
        <f>J19</f>
        <v>100</v>
      </c>
      <c r="X19" s="1537"/>
      <c r="Y19" s="3324"/>
      <c r="Z19" s="1538" t="str">
        <f>Q19</f>
        <v>办公集聚程度</v>
      </c>
      <c r="AA19" s="1535">
        <f t="shared" si="3"/>
        <v>1</v>
      </c>
      <c r="AB19" s="1535">
        <f t="shared" si="4"/>
        <v>1</v>
      </c>
      <c r="AC19" s="1535">
        <f t="shared" si="5"/>
        <v>1</v>
      </c>
    </row>
    <row r="20" spans="1:29" ht="15">
      <c r="A20" s="386"/>
      <c r="B20" s="414"/>
      <c r="C20" s="405"/>
      <c r="D20" s="406"/>
      <c r="E20" s="2082"/>
      <c r="F20" s="406"/>
      <c r="G20" s="2082"/>
      <c r="H20" s="406"/>
      <c r="I20" s="2081"/>
      <c r="J20" s="406"/>
      <c r="K20" s="626"/>
      <c r="L20" s="2949"/>
      <c r="M20" s="2943"/>
      <c r="N20" s="2943"/>
      <c r="O20" s="3001"/>
      <c r="P20" s="3324"/>
      <c r="Q20" s="1534"/>
      <c r="R20" s="712"/>
      <c r="S20" s="713"/>
      <c r="T20" s="712"/>
      <c r="U20" s="713"/>
      <c r="V20" s="712"/>
      <c r="W20" s="713"/>
      <c r="X20" s="1537"/>
      <c r="Y20" s="3324"/>
      <c r="Z20" s="1538"/>
      <c r="AA20" s="1535">
        <v>1</v>
      </c>
      <c r="AB20" s="1535">
        <v>1</v>
      </c>
      <c r="AC20" s="1535">
        <v>1</v>
      </c>
    </row>
    <row r="21" spans="1:29" ht="15">
      <c r="A21" s="386"/>
      <c r="B21" s="409" t="s">
        <v>2530</v>
      </c>
      <c r="C21" s="2084">
        <f>估价对象房地状况!C18</f>
        <v>0</v>
      </c>
      <c r="D21" s="408">
        <v>100</v>
      </c>
      <c r="E21" s="410"/>
      <c r="F21" s="413">
        <f>SUMIF(94:94,E22,95:95)-SUMIF(94:94,C22,95:95)+100</f>
        <v>100</v>
      </c>
      <c r="G21" s="410"/>
      <c r="H21" s="408">
        <f>SUMIF(94:94,G22,95:95)-SUMIF(94:94,C22,95:95)+100</f>
        <v>100</v>
      </c>
      <c r="I21" s="412"/>
      <c r="J21" s="408">
        <f>SUMIF(94:94,I22,95:95)-SUMIF(94:94,C22,95:95)+100</f>
        <v>100</v>
      </c>
      <c r="K21" s="627"/>
      <c r="L21" s="2949"/>
      <c r="M21" s="2943"/>
      <c r="N21" s="2943"/>
      <c r="O21" s="3001"/>
      <c r="P21" s="3324"/>
      <c r="Q21" s="1534" t="str">
        <f>B21</f>
        <v>交通便捷度</v>
      </c>
      <c r="R21" s="712" t="s">
        <v>17</v>
      </c>
      <c r="S21" s="713">
        <f>F21</f>
        <v>100</v>
      </c>
      <c r="T21" s="712" t="s">
        <v>17</v>
      </c>
      <c r="U21" s="713">
        <f>H21</f>
        <v>100</v>
      </c>
      <c r="V21" s="712" t="s">
        <v>17</v>
      </c>
      <c r="W21" s="713">
        <f>J21</f>
        <v>100</v>
      </c>
      <c r="X21" s="1537"/>
      <c r="Y21" s="3324"/>
      <c r="Z21" s="1538" t="str">
        <f>Q21</f>
        <v>交通便捷度</v>
      </c>
      <c r="AA21" s="1535">
        <f t="shared" si="3"/>
        <v>1</v>
      </c>
      <c r="AB21" s="1535">
        <f t="shared" si="4"/>
        <v>1</v>
      </c>
      <c r="AC21" s="1535">
        <f t="shared" si="5"/>
        <v>1</v>
      </c>
    </row>
    <row r="22" spans="1:29" ht="15">
      <c r="A22" s="386"/>
      <c r="B22" s="1291"/>
      <c r="C22" s="405"/>
      <c r="D22" s="408"/>
      <c r="E22" s="2082"/>
      <c r="F22" s="406"/>
      <c r="G22" s="2082"/>
      <c r="H22" s="406"/>
      <c r="I22" s="2081"/>
      <c r="J22" s="406"/>
      <c r="K22" s="626"/>
      <c r="L22" s="2949"/>
      <c r="M22" s="2943"/>
      <c r="N22" s="2943"/>
      <c r="O22" s="3001"/>
      <c r="P22" s="3324"/>
      <c r="Q22" s="1534"/>
      <c r="R22" s="712"/>
      <c r="S22" s="713"/>
      <c r="T22" s="712"/>
      <c r="U22" s="713"/>
      <c r="V22" s="712"/>
      <c r="W22" s="713"/>
      <c r="X22" s="1537"/>
      <c r="Y22" s="3324"/>
      <c r="Z22" s="1538"/>
      <c r="AA22" s="1535">
        <v>1</v>
      </c>
      <c r="AB22" s="1535">
        <v>1</v>
      </c>
      <c r="AC22" s="1535">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7"/>
      <c r="L23" s="2949"/>
      <c r="M23" s="2943"/>
      <c r="N23" s="2943"/>
      <c r="O23" s="3001"/>
      <c r="P23" s="3324"/>
      <c r="Q23" s="1534" t="str">
        <f t="shared" ref="Q23:Q37" si="8">B23</f>
        <v>区域土地利用方向</v>
      </c>
      <c r="R23" s="712" t="s">
        <v>17</v>
      </c>
      <c r="S23" s="713">
        <f>F23</f>
        <v>100</v>
      </c>
      <c r="T23" s="712" t="s">
        <v>17</v>
      </c>
      <c r="U23" s="713">
        <f>H23</f>
        <v>100</v>
      </c>
      <c r="V23" s="712" t="s">
        <v>17</v>
      </c>
      <c r="W23" s="713">
        <f>J23</f>
        <v>100</v>
      </c>
      <c r="X23" s="1537"/>
      <c r="Y23" s="3324"/>
      <c r="Z23" s="1538" t="str">
        <f>Q23</f>
        <v>区域土地利用方向</v>
      </c>
      <c r="AA23" s="1535">
        <f t="shared" si="3"/>
        <v>1</v>
      </c>
      <c r="AB23" s="1535">
        <f t="shared" si="4"/>
        <v>1</v>
      </c>
      <c r="AC23" s="1535">
        <f t="shared" si="5"/>
        <v>1</v>
      </c>
    </row>
    <row r="24" spans="1:29" ht="15">
      <c r="A24" s="363"/>
      <c r="B24" s="414"/>
      <c r="C24" s="572"/>
      <c r="D24" s="406"/>
      <c r="E24" s="2082"/>
      <c r="F24" s="406"/>
      <c r="G24" s="2081"/>
      <c r="H24" s="406"/>
      <c r="I24" s="2081"/>
      <c r="J24" s="406"/>
      <c r="K24" s="749"/>
      <c r="L24" s="2949"/>
      <c r="M24" s="2943"/>
      <c r="N24" s="2943"/>
      <c r="O24" s="3001"/>
      <c r="P24" s="3324"/>
      <c r="Q24" s="1534"/>
      <c r="R24" s="712"/>
      <c r="S24" s="713"/>
      <c r="T24" s="712"/>
      <c r="U24" s="713"/>
      <c r="V24" s="712"/>
      <c r="W24" s="713"/>
      <c r="X24" s="1537"/>
      <c r="Y24" s="3324"/>
      <c r="Z24" s="1538"/>
      <c r="AA24" s="1535"/>
      <c r="AB24" s="1535"/>
      <c r="AC24" s="1535"/>
    </row>
    <row r="25" spans="1:29" ht="27">
      <c r="A25" s="363"/>
      <c r="B25" s="1291" t="s">
        <v>2570</v>
      </c>
      <c r="C25" s="2139">
        <f>估价对象房地状况!C20</f>
        <v>0</v>
      </c>
      <c r="D25" s="408">
        <v>100</v>
      </c>
      <c r="E25" s="410"/>
      <c r="F25" s="408">
        <f>SUMIF(98:98,E26,99:99)-SUMIF(98:98,C26,99:99)+100</f>
        <v>100</v>
      </c>
      <c r="G25" s="410"/>
      <c r="H25" s="408">
        <f>SUMIF(98:98,G26,99:99)-SUMIF(98:98,C26,99:99)+100</f>
        <v>100</v>
      </c>
      <c r="I25" s="412"/>
      <c r="J25" s="408">
        <f>SUMIF(98:98,I26,99:99)-SUMIF(98:98,C26,99:99)+100</f>
        <v>100</v>
      </c>
      <c r="K25" s="627"/>
      <c r="L25" s="2949"/>
      <c r="M25" s="2943"/>
      <c r="N25" s="2943"/>
      <c r="O25" s="3001"/>
      <c r="P25" s="3324"/>
      <c r="Q25" s="1534" t="str">
        <f t="shared" si="8"/>
        <v>自然及人文环境状况</v>
      </c>
      <c r="R25" s="712" t="s">
        <v>17</v>
      </c>
      <c r="S25" s="713">
        <f>F25</f>
        <v>100</v>
      </c>
      <c r="T25" s="712" t="s">
        <v>17</v>
      </c>
      <c r="U25" s="713">
        <f>H25</f>
        <v>100</v>
      </c>
      <c r="V25" s="712" t="s">
        <v>17</v>
      </c>
      <c r="W25" s="713">
        <f>J25</f>
        <v>100</v>
      </c>
      <c r="X25" s="1537"/>
      <c r="Y25" s="3324"/>
      <c r="Z25" s="1538" t="str">
        <f>Q25</f>
        <v>自然及人文环境状况</v>
      </c>
      <c r="AA25" s="1535">
        <f t="shared" si="3"/>
        <v>1</v>
      </c>
      <c r="AB25" s="1535">
        <f t="shared" si="4"/>
        <v>1</v>
      </c>
      <c r="AC25" s="1535">
        <f t="shared" si="5"/>
        <v>1</v>
      </c>
    </row>
    <row r="26" spans="1:29" ht="15">
      <c r="A26" s="363"/>
      <c r="B26" s="414"/>
      <c r="C26" s="405"/>
      <c r="D26" s="406"/>
      <c r="E26" s="2088"/>
      <c r="F26" s="406"/>
      <c r="G26" s="2088"/>
      <c r="H26" s="406"/>
      <c r="I26" s="405"/>
      <c r="J26" s="406"/>
      <c r="K26" s="626"/>
      <c r="L26" s="2949"/>
      <c r="M26" s="2943"/>
      <c r="N26" s="2943"/>
      <c r="O26" s="3001"/>
      <c r="P26" s="3324"/>
      <c r="Q26" s="1534"/>
      <c r="R26" s="712"/>
      <c r="S26" s="713"/>
      <c r="T26" s="712"/>
      <c r="U26" s="713"/>
      <c r="V26" s="712"/>
      <c r="W26" s="713"/>
      <c r="X26" s="1537"/>
      <c r="Y26" s="3324"/>
      <c r="Z26" s="1538"/>
      <c r="AA26" s="1535">
        <v>1</v>
      </c>
      <c r="AB26" s="1535">
        <v>1</v>
      </c>
      <c r="AC26" s="1535">
        <v>1</v>
      </c>
    </row>
    <row r="27" spans="1:29" s="113" customFormat="1" ht="15">
      <c r="A27" s="603"/>
      <c r="B27" s="1291" t="s">
        <v>2475</v>
      </c>
      <c r="C27" s="2084">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7"/>
      <c r="L27" s="2944"/>
      <c r="M27" s="2945"/>
      <c r="N27" s="2945"/>
      <c r="O27" s="2999"/>
      <c r="P27" s="3324"/>
      <c r="Q27" s="1525" t="str">
        <f t="shared" si="8"/>
        <v>公共配套设施</v>
      </c>
      <c r="R27" s="708" t="s">
        <v>17</v>
      </c>
      <c r="S27" s="709">
        <f>F27</f>
        <v>100</v>
      </c>
      <c r="T27" s="708" t="s">
        <v>17</v>
      </c>
      <c r="U27" s="709">
        <f>H27</f>
        <v>100</v>
      </c>
      <c r="V27" s="708" t="s">
        <v>17</v>
      </c>
      <c r="W27" s="709">
        <f>J27</f>
        <v>100</v>
      </c>
      <c r="X27" s="710"/>
      <c r="Y27" s="3324"/>
      <c r="Z27" s="55" t="str">
        <f>Q27</f>
        <v>公共配套设施</v>
      </c>
      <c r="AA27" s="1535">
        <f>D27/F27</f>
        <v>1</v>
      </c>
      <c r="AB27" s="1535">
        <f>D27/H27</f>
        <v>1</v>
      </c>
      <c r="AC27" s="1535">
        <f>D27/J27</f>
        <v>1</v>
      </c>
    </row>
    <row r="28" spans="1:29" s="113" customFormat="1" ht="15">
      <c r="A28" s="603"/>
      <c r="B28" s="414"/>
      <c r="C28" s="2162"/>
      <c r="D28" s="406"/>
      <c r="E28" s="2088"/>
      <c r="F28" s="406"/>
      <c r="G28" s="2088"/>
      <c r="H28" s="406"/>
      <c r="I28" s="405"/>
      <c r="J28" s="406"/>
      <c r="K28" s="626"/>
      <c r="L28" s="2944"/>
      <c r="M28" s="2945"/>
      <c r="N28" s="2945"/>
      <c r="O28" s="2999"/>
      <c r="P28" s="3324"/>
      <c r="Q28" s="1525"/>
      <c r="R28" s="708"/>
      <c r="S28" s="709"/>
      <c r="T28" s="708"/>
      <c r="U28" s="709"/>
      <c r="V28" s="708"/>
      <c r="W28" s="709"/>
      <c r="X28" s="710"/>
      <c r="Y28" s="3324"/>
      <c r="Z28" s="55"/>
      <c r="AA28" s="1535">
        <v>1</v>
      </c>
      <c r="AB28" s="1535">
        <v>1</v>
      </c>
      <c r="AC28" s="1535">
        <v>1</v>
      </c>
    </row>
    <row r="29" spans="1:29" s="113" customFormat="1" ht="15">
      <c r="A29" s="603"/>
      <c r="B29" s="1291" t="s">
        <v>2476</v>
      </c>
      <c r="C29" s="2084">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7"/>
      <c r="L29" s="2944"/>
      <c r="M29" s="2945"/>
      <c r="N29" s="2945"/>
      <c r="O29" s="2999"/>
      <c r="P29" s="3324"/>
      <c r="Q29" s="1525" t="str">
        <f t="shared" ref="Q29" si="9">B29</f>
        <v>基础设施水平</v>
      </c>
      <c r="R29" s="708" t="s">
        <v>17</v>
      </c>
      <c r="S29" s="709">
        <f>F29</f>
        <v>100</v>
      </c>
      <c r="T29" s="708" t="s">
        <v>17</v>
      </c>
      <c r="U29" s="709">
        <f>H29</f>
        <v>100</v>
      </c>
      <c r="V29" s="708" t="s">
        <v>17</v>
      </c>
      <c r="W29" s="709">
        <f>J29</f>
        <v>100</v>
      </c>
      <c r="X29" s="710"/>
      <c r="Y29" s="3324"/>
      <c r="Z29" s="55" t="str">
        <f>Q29</f>
        <v>基础设施水平</v>
      </c>
      <c r="AA29" s="1535">
        <f>D29/F29</f>
        <v>1</v>
      </c>
      <c r="AB29" s="1535">
        <f>D29/H29</f>
        <v>1</v>
      </c>
      <c r="AC29" s="1535">
        <f>D29/J29</f>
        <v>1</v>
      </c>
    </row>
    <row r="30" spans="1:29" s="113" customFormat="1" ht="15">
      <c r="A30" s="603"/>
      <c r="B30" s="414"/>
      <c r="C30" s="2162"/>
      <c r="D30" s="406"/>
      <c r="E30" s="2163"/>
      <c r="F30" s="406"/>
      <c r="G30" s="2163"/>
      <c r="H30" s="406"/>
      <c r="I30" s="2163"/>
      <c r="J30" s="406"/>
      <c r="K30" s="626"/>
      <c r="L30" s="2944"/>
      <c r="M30" s="2945"/>
      <c r="N30" s="2945"/>
      <c r="O30" s="2999"/>
      <c r="P30" s="3324"/>
      <c r="Q30" s="1525"/>
      <c r="R30" s="708"/>
      <c r="S30" s="709"/>
      <c r="T30" s="708"/>
      <c r="U30" s="709"/>
      <c r="V30" s="708"/>
      <c r="W30" s="709"/>
      <c r="X30" s="710"/>
      <c r="Y30" s="3324"/>
      <c r="Z30" s="55"/>
      <c r="AA30" s="1535">
        <v>1</v>
      </c>
      <c r="AB30" s="1535">
        <v>1</v>
      </c>
      <c r="AC30" s="1535">
        <v>1</v>
      </c>
    </row>
    <row r="31" spans="1:29" ht="15">
      <c r="A31" s="386"/>
      <c r="B31" s="414" t="s">
        <v>2477</v>
      </c>
      <c r="C31" s="572"/>
      <c r="D31" s="393">
        <v>100</v>
      </c>
      <c r="E31" s="588"/>
      <c r="F31" s="393">
        <f>SUMIF(104:104,E31,105:105)-SUMIF(104:104,C31,105:105)+100</f>
        <v>100</v>
      </c>
      <c r="G31" s="588"/>
      <c r="H31" s="393">
        <f>SUMIF(104:104,G31,105:105)-SUMIF(104:104,C31,105:105)+100</f>
        <v>100</v>
      </c>
      <c r="I31" s="588"/>
      <c r="J31" s="393">
        <f>SUMIF(104:104,I31,105:105)-SUMIF(104:104,C31,105:105)+100</f>
        <v>100</v>
      </c>
      <c r="K31" s="627"/>
      <c r="L31" s="2949"/>
      <c r="M31" s="2943"/>
      <c r="N31" s="2943"/>
      <c r="O31" s="3001"/>
      <c r="P31" s="3324"/>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24"/>
      <c r="Z31" s="1538" t="str">
        <f t="shared" ref="Z31:Z45" si="13">Q31</f>
        <v>临街状况</v>
      </c>
      <c r="AA31" s="1535">
        <f t="shared" si="3"/>
        <v>1</v>
      </c>
      <c r="AB31" s="1535">
        <f t="shared" si="4"/>
        <v>1</v>
      </c>
      <c r="AC31" s="1535">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7"/>
      <c r="L32" s="2949"/>
      <c r="M32" s="2943"/>
      <c r="N32" s="2943"/>
      <c r="O32" s="3001"/>
      <c r="P32" s="3324"/>
      <c r="Q32" s="1534" t="str">
        <f t="shared" si="8"/>
        <v>毗邻道路的类型与等级</v>
      </c>
      <c r="R32" s="712" t="s">
        <v>17</v>
      </c>
      <c r="S32" s="713">
        <f t="shared" si="10"/>
        <v>100</v>
      </c>
      <c r="T32" s="712" t="s">
        <v>17</v>
      </c>
      <c r="U32" s="713">
        <f t="shared" si="11"/>
        <v>100</v>
      </c>
      <c r="V32" s="712" t="s">
        <v>17</v>
      </c>
      <c r="W32" s="713">
        <f t="shared" si="12"/>
        <v>100</v>
      </c>
      <c r="X32" s="1537"/>
      <c r="Y32" s="3324"/>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9"/>
      <c r="M33" s="2943"/>
      <c r="N33" s="2943"/>
      <c r="O33" s="3001"/>
      <c r="P33" s="3324"/>
      <c r="Q33" s="1534"/>
      <c r="R33" s="712"/>
      <c r="S33" s="713"/>
      <c r="T33" s="712"/>
      <c r="U33" s="713"/>
      <c r="V33" s="712"/>
      <c r="W33" s="713"/>
      <c r="X33" s="1537"/>
      <c r="Y33" s="3324"/>
      <c r="Z33" s="1538"/>
      <c r="AA33" s="1535">
        <v>1</v>
      </c>
      <c r="AB33" s="1535">
        <v>1</v>
      </c>
      <c r="AC33" s="1535">
        <v>1</v>
      </c>
    </row>
    <row r="34" spans="1:29" ht="15">
      <c r="A34" s="386"/>
      <c r="B34" s="380" t="s">
        <v>2571</v>
      </c>
      <c r="C34" s="572"/>
      <c r="D34" s="393">
        <v>100</v>
      </c>
      <c r="E34" s="588"/>
      <c r="F34" s="393">
        <f>SUMIF(108:108,E34,109:109)-SUMIF(108:108,C34,109:109)+100</f>
        <v>100</v>
      </c>
      <c r="G34" s="588"/>
      <c r="H34" s="393">
        <f>SUMIF(108:108,G34,109:109)-SUMIF(108:108,C34,109:109)+100</f>
        <v>100</v>
      </c>
      <c r="I34" s="572"/>
      <c r="J34" s="393">
        <f>SUMIF(108:108,I34,109:109)-SUMIF(108:108,C34,109:109)+100</f>
        <v>100</v>
      </c>
      <c r="K34" s="568"/>
      <c r="L34" s="2949"/>
      <c r="M34" s="2943"/>
      <c r="N34" s="2943"/>
      <c r="O34" s="3001"/>
      <c r="P34" s="3324"/>
      <c r="Q34" s="1534" t="str">
        <f t="shared" si="8"/>
        <v>土地级别</v>
      </c>
      <c r="R34" s="712" t="s">
        <v>17</v>
      </c>
      <c r="S34" s="713">
        <f t="shared" si="10"/>
        <v>100</v>
      </c>
      <c r="T34" s="712" t="s">
        <v>17</v>
      </c>
      <c r="U34" s="713">
        <f t="shared" si="11"/>
        <v>100</v>
      </c>
      <c r="V34" s="712" t="s">
        <v>17</v>
      </c>
      <c r="W34" s="713">
        <f t="shared" si="12"/>
        <v>100</v>
      </c>
      <c r="X34" s="1537"/>
      <c r="Y34" s="3324"/>
      <c r="Z34" s="1538" t="str">
        <f t="shared" si="13"/>
        <v>土地级别</v>
      </c>
      <c r="AA34" s="1535">
        <f t="shared" si="3"/>
        <v>1</v>
      </c>
      <c r="AB34" s="1535">
        <f t="shared" si="4"/>
        <v>1</v>
      </c>
      <c r="AC34" s="1535">
        <f t="shared" si="5"/>
        <v>1</v>
      </c>
    </row>
    <row r="35" spans="1:29" ht="15">
      <c r="A35" s="363"/>
      <c r="B35" s="1293">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49"/>
      <c r="M35" s="2943"/>
      <c r="N35" s="2943"/>
      <c r="O35" s="3001"/>
      <c r="P35" s="3324"/>
      <c r="Q35" s="1534">
        <f t="shared" si="8"/>
        <v>111</v>
      </c>
      <c r="R35" s="712" t="s">
        <v>17</v>
      </c>
      <c r="S35" s="713">
        <f t="shared" si="10"/>
        <v>100</v>
      </c>
      <c r="T35" s="712" t="s">
        <v>17</v>
      </c>
      <c r="U35" s="713">
        <f t="shared" si="11"/>
        <v>100</v>
      </c>
      <c r="V35" s="712" t="s">
        <v>17</v>
      </c>
      <c r="W35" s="713">
        <f t="shared" si="12"/>
        <v>100</v>
      </c>
      <c r="X35" s="1537"/>
      <c r="Y35" s="3324"/>
      <c r="Z35" s="1538">
        <f t="shared" si="13"/>
        <v>111</v>
      </c>
      <c r="AA35" s="1535">
        <f t="shared" si="3"/>
        <v>1</v>
      </c>
      <c r="AB35" s="1535">
        <f t="shared" si="4"/>
        <v>1</v>
      </c>
      <c r="AC35" s="1535">
        <f t="shared" si="5"/>
        <v>1</v>
      </c>
    </row>
    <row r="36" spans="1:29" ht="15">
      <c r="A36" s="629"/>
      <c r="B36" s="1294">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49"/>
      <c r="M36" s="2943"/>
      <c r="N36" s="2943"/>
      <c r="O36" s="3001"/>
      <c r="P36" s="3349" t="s">
        <v>2386</v>
      </c>
      <c r="Q36" s="1534">
        <f t="shared" si="8"/>
        <v>111</v>
      </c>
      <c r="R36" s="712" t="s">
        <v>17</v>
      </c>
      <c r="S36" s="713">
        <f t="shared" si="10"/>
        <v>100</v>
      </c>
      <c r="T36" s="712" t="s">
        <v>17</v>
      </c>
      <c r="U36" s="713">
        <f t="shared" si="11"/>
        <v>100</v>
      </c>
      <c r="V36" s="712" t="s">
        <v>17</v>
      </c>
      <c r="W36" s="713">
        <f t="shared" si="12"/>
        <v>100</v>
      </c>
      <c r="X36" s="1537"/>
      <c r="Y36" s="3328" t="s">
        <v>2386</v>
      </c>
      <c r="Z36" s="1538">
        <f t="shared" si="13"/>
        <v>111</v>
      </c>
      <c r="AA36" s="1535">
        <f t="shared" si="3"/>
        <v>1</v>
      </c>
      <c r="AB36" s="1535">
        <f t="shared" si="4"/>
        <v>1</v>
      </c>
      <c r="AC36" s="1535">
        <f t="shared" si="5"/>
        <v>1</v>
      </c>
    </row>
    <row r="37" spans="1:29" s="429" customFormat="1" ht="15.75" thickBot="1">
      <c r="A37" s="630"/>
      <c r="B37" s="1295">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48"/>
      <c r="M37" s="2950"/>
      <c r="N37" s="2950"/>
      <c r="O37" s="3002"/>
      <c r="P37" s="3328"/>
      <c r="Q37" s="1534">
        <f t="shared" si="8"/>
        <v>111</v>
      </c>
      <c r="R37" s="715" t="s">
        <v>17</v>
      </c>
      <c r="S37" s="716">
        <f t="shared" si="10"/>
        <v>100</v>
      </c>
      <c r="T37" s="715" t="s">
        <v>17</v>
      </c>
      <c r="U37" s="716">
        <f t="shared" si="11"/>
        <v>100</v>
      </c>
      <c r="V37" s="715" t="s">
        <v>17</v>
      </c>
      <c r="W37" s="716">
        <f t="shared" si="12"/>
        <v>100</v>
      </c>
      <c r="X37" s="717"/>
      <c r="Y37" s="3328"/>
      <c r="Z37" s="718">
        <f t="shared" si="13"/>
        <v>111</v>
      </c>
      <c r="AA37" s="1535">
        <f t="shared" si="3"/>
        <v>1</v>
      </c>
      <c r="AB37" s="1535">
        <f t="shared" si="4"/>
        <v>1</v>
      </c>
      <c r="AC37" s="1535">
        <f t="shared" si="5"/>
        <v>1</v>
      </c>
    </row>
    <row r="38" spans="1:29" ht="15">
      <c r="A38" s="430" t="s">
        <v>2384</v>
      </c>
      <c r="B38" s="414" t="s">
        <v>2572</v>
      </c>
      <c r="C38" s="633"/>
      <c r="D38" s="425">
        <v>100</v>
      </c>
      <c r="E38" s="633"/>
      <c r="F38" s="425" t="e">
        <f>LOOKUP(E38,117:117,118:118)-LOOKUP(C38,117:117,118:118)+100</f>
        <v>#N/A</v>
      </c>
      <c r="G38" s="633"/>
      <c r="H38" s="425" t="e">
        <f>LOOKUP(G38,117:117,118:118)-LOOKUP(C38,117:117,118:118)+100</f>
        <v>#N/A</v>
      </c>
      <c r="I38" s="486"/>
      <c r="J38" s="425" t="e">
        <f>LOOKUP(I38,117:117,118:118)-LOOKUP(C38,117:117,118:118)+100</f>
        <v>#N/A</v>
      </c>
      <c r="K38" s="569"/>
      <c r="L38" s="2949"/>
      <c r="M38" s="2943"/>
      <c r="N38" s="2943"/>
      <c r="O38" s="3001"/>
      <c r="P38" s="3328"/>
      <c r="Q38" s="1534" t="str">
        <f>B38</f>
        <v>宗地面积</v>
      </c>
      <c r="R38" s="712" t="s">
        <v>17</v>
      </c>
      <c r="S38" s="713" t="e">
        <f t="shared" si="10"/>
        <v>#N/A</v>
      </c>
      <c r="T38" s="712" t="s">
        <v>17</v>
      </c>
      <c r="U38" s="713" t="e">
        <f t="shared" si="11"/>
        <v>#N/A</v>
      </c>
      <c r="V38" s="712" t="s">
        <v>17</v>
      </c>
      <c r="W38" s="713" t="e">
        <f t="shared" si="12"/>
        <v>#N/A</v>
      </c>
      <c r="X38" s="1537"/>
      <c r="Y38" s="3328"/>
      <c r="Z38" s="1538" t="str">
        <f t="shared" si="13"/>
        <v>宗地面积</v>
      </c>
      <c r="AA38" s="1535" t="e">
        <f t="shared" si="3"/>
        <v>#N/A</v>
      </c>
      <c r="AB38" s="1535" t="e">
        <f t="shared" si="4"/>
        <v>#N/A</v>
      </c>
      <c r="AC38" s="1535" t="e">
        <f t="shared" si="5"/>
        <v>#N/A</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9"/>
      <c r="M39" s="2943"/>
      <c r="N39" s="2943"/>
      <c r="O39" s="3001"/>
      <c r="P39" s="3328"/>
      <c r="Q39" s="1534" t="str">
        <f t="shared" ref="Q39:Q45" si="14">B39</f>
        <v>宗地形状</v>
      </c>
      <c r="R39" s="712" t="s">
        <v>17</v>
      </c>
      <c r="S39" s="713">
        <f t="shared" si="10"/>
        <v>100</v>
      </c>
      <c r="T39" s="712" t="s">
        <v>17</v>
      </c>
      <c r="U39" s="713">
        <f t="shared" si="11"/>
        <v>100</v>
      </c>
      <c r="V39" s="712" t="s">
        <v>17</v>
      </c>
      <c r="W39" s="713">
        <f t="shared" si="12"/>
        <v>100</v>
      </c>
      <c r="X39" s="1537"/>
      <c r="Y39" s="3328"/>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9"/>
      <c r="M40" s="2943"/>
      <c r="N40" s="2943"/>
      <c r="O40" s="3001"/>
      <c r="P40" s="3328"/>
      <c r="Q40" s="1534" t="str">
        <f t="shared" si="14"/>
        <v>临街宽度及深度</v>
      </c>
      <c r="R40" s="712" t="s">
        <v>17</v>
      </c>
      <c r="S40" s="713">
        <f t="shared" si="10"/>
        <v>100</v>
      </c>
      <c r="T40" s="712" t="s">
        <v>17</v>
      </c>
      <c r="U40" s="713">
        <f t="shared" si="11"/>
        <v>100</v>
      </c>
      <c r="V40" s="712" t="s">
        <v>17</v>
      </c>
      <c r="W40" s="713">
        <f t="shared" si="12"/>
        <v>100</v>
      </c>
      <c r="X40" s="1537"/>
      <c r="Y40" s="3328"/>
      <c r="Z40" s="1538" t="str">
        <f t="shared" si="13"/>
        <v>临街宽度及深度</v>
      </c>
      <c r="AA40" s="1535">
        <f t="shared" si="3"/>
        <v>1</v>
      </c>
      <c r="AB40" s="1535">
        <f t="shared" si="4"/>
        <v>1</v>
      </c>
      <c r="AC40" s="1535">
        <f t="shared" si="5"/>
        <v>1</v>
      </c>
    </row>
    <row r="41" spans="1:29" s="113" customFormat="1" ht="15">
      <c r="A41" s="431"/>
      <c r="B41" s="380" t="s">
        <v>2575</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4"/>
      <c r="M41" s="2945"/>
      <c r="N41" s="2945"/>
      <c r="O41" s="2999"/>
      <c r="P41" s="3328"/>
      <c r="Q41" s="1534" t="str">
        <f t="shared" si="14"/>
        <v>宗地开发程度</v>
      </c>
      <c r="R41" s="708" t="s">
        <v>17</v>
      </c>
      <c r="S41" s="709">
        <f t="shared" si="10"/>
        <v>100</v>
      </c>
      <c r="T41" s="708" t="s">
        <v>17</v>
      </c>
      <c r="U41" s="709">
        <f t="shared" si="11"/>
        <v>100</v>
      </c>
      <c r="V41" s="708" t="s">
        <v>17</v>
      </c>
      <c r="W41" s="709">
        <f t="shared" si="12"/>
        <v>100</v>
      </c>
      <c r="X41" s="710"/>
      <c r="Y41" s="3328"/>
      <c r="Z41" s="55" t="str">
        <f t="shared" si="13"/>
        <v>宗地开发程度</v>
      </c>
      <c r="AA41" s="711">
        <f t="shared" si="3"/>
        <v>1</v>
      </c>
      <c r="AB41" s="711">
        <f t="shared" si="4"/>
        <v>1</v>
      </c>
      <c r="AC41" s="711">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9"/>
      <c r="M42" s="2943"/>
      <c r="N42" s="2943"/>
      <c r="O42" s="3001"/>
      <c r="P42" s="3328" t="s">
        <v>2386</v>
      </c>
      <c r="Q42" s="1534" t="str">
        <f t="shared" si="14"/>
        <v>工程地质条件</v>
      </c>
      <c r="R42" s="712" t="s">
        <v>17</v>
      </c>
      <c r="S42" s="713">
        <f t="shared" si="10"/>
        <v>100</v>
      </c>
      <c r="T42" s="712" t="s">
        <v>17</v>
      </c>
      <c r="U42" s="713">
        <f t="shared" si="11"/>
        <v>100</v>
      </c>
      <c r="V42" s="712" t="s">
        <v>17</v>
      </c>
      <c r="W42" s="713">
        <f t="shared" si="12"/>
        <v>100</v>
      </c>
      <c r="X42" s="1537"/>
      <c r="Y42" s="3328" t="s">
        <v>2386</v>
      </c>
      <c r="Z42" s="1538" t="str">
        <f t="shared" si="13"/>
        <v>工程地质条件</v>
      </c>
      <c r="AA42" s="1535">
        <f t="shared" si="3"/>
        <v>1</v>
      </c>
      <c r="AB42" s="1535">
        <f t="shared" si="4"/>
        <v>1</v>
      </c>
      <c r="AC42" s="1535">
        <f t="shared" si="5"/>
        <v>1</v>
      </c>
    </row>
    <row r="43" spans="1:29" ht="15">
      <c r="A43" s="430"/>
      <c r="B43" s="1294">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49"/>
      <c r="M43" s="2943"/>
      <c r="N43" s="2943"/>
      <c r="O43" s="3001"/>
      <c r="P43" s="3328"/>
      <c r="Q43" s="1534">
        <f t="shared" si="14"/>
        <v>111</v>
      </c>
      <c r="R43" s="712" t="s">
        <v>17</v>
      </c>
      <c r="S43" s="713">
        <f t="shared" si="10"/>
        <v>100</v>
      </c>
      <c r="T43" s="712" t="s">
        <v>17</v>
      </c>
      <c r="U43" s="713">
        <f t="shared" si="11"/>
        <v>100</v>
      </c>
      <c r="V43" s="712" t="s">
        <v>17</v>
      </c>
      <c r="W43" s="713">
        <f t="shared" si="12"/>
        <v>100</v>
      </c>
      <c r="X43" s="1537"/>
      <c r="Y43" s="3328"/>
      <c r="Z43" s="1538">
        <f t="shared" si="13"/>
        <v>111</v>
      </c>
      <c r="AA43" s="1535">
        <f t="shared" si="3"/>
        <v>1</v>
      </c>
      <c r="AB43" s="1535">
        <f t="shared" si="4"/>
        <v>1</v>
      </c>
      <c r="AC43" s="1535">
        <f t="shared" si="5"/>
        <v>1</v>
      </c>
    </row>
    <row r="44" spans="1:29" ht="15">
      <c r="A44" s="430"/>
      <c r="B44" s="1294">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49"/>
      <c r="M44" s="2943"/>
      <c r="N44" s="2943"/>
      <c r="O44" s="3001"/>
      <c r="P44" s="3328"/>
      <c r="Q44" s="1534">
        <f t="shared" si="14"/>
        <v>111</v>
      </c>
      <c r="R44" s="712" t="s">
        <v>17</v>
      </c>
      <c r="S44" s="713">
        <f t="shared" si="10"/>
        <v>100</v>
      </c>
      <c r="T44" s="712" t="s">
        <v>17</v>
      </c>
      <c r="U44" s="713">
        <f t="shared" si="11"/>
        <v>100</v>
      </c>
      <c r="V44" s="712" t="s">
        <v>17</v>
      </c>
      <c r="W44" s="713">
        <f t="shared" si="12"/>
        <v>100</v>
      </c>
      <c r="X44" s="1537"/>
      <c r="Y44" s="3328"/>
      <c r="Z44" s="1538">
        <f t="shared" si="13"/>
        <v>111</v>
      </c>
      <c r="AA44" s="1535">
        <f t="shared" si="3"/>
        <v>1</v>
      </c>
      <c r="AB44" s="1535">
        <f t="shared" si="4"/>
        <v>1</v>
      </c>
      <c r="AC44" s="1535">
        <f t="shared" si="5"/>
        <v>1</v>
      </c>
    </row>
    <row r="45" spans="1:29" s="429" customFormat="1" ht="15.75" thickBot="1">
      <c r="A45" s="426"/>
      <c r="B45" s="1294">
        <v>111</v>
      </c>
      <c r="C45" s="2165"/>
      <c r="D45" s="634">
        <v>100</v>
      </c>
      <c r="E45" s="628"/>
      <c r="F45" s="396">
        <f>SUMIF(131:131,E45,132:132)-SUMIF(131:131,C45,132:132)+100</f>
        <v>100</v>
      </c>
      <c r="G45" s="628"/>
      <c r="H45" s="396">
        <f>SUMIF(131:131,G45,132:132)-SUMIF(131:131,C45,132:132)+100</f>
        <v>100</v>
      </c>
      <c r="I45" s="628"/>
      <c r="J45" s="396">
        <f>SUMIF(131:131,I45,132:132)-SUMIF(131:131,C45,132:132)+100</f>
        <v>100</v>
      </c>
      <c r="K45" s="635"/>
      <c r="L45" s="2948"/>
      <c r="M45" s="2950"/>
      <c r="N45" s="2950"/>
      <c r="O45" s="3002"/>
      <c r="P45" s="3328"/>
      <c r="Q45" s="1534">
        <f t="shared" si="14"/>
        <v>111</v>
      </c>
      <c r="R45" s="715" t="s">
        <v>17</v>
      </c>
      <c r="S45" s="716">
        <f t="shared" si="10"/>
        <v>100</v>
      </c>
      <c r="T45" s="715" t="s">
        <v>17</v>
      </c>
      <c r="U45" s="716">
        <f t="shared" si="11"/>
        <v>100</v>
      </c>
      <c r="V45" s="715" t="s">
        <v>17</v>
      </c>
      <c r="W45" s="716">
        <f t="shared" si="12"/>
        <v>100</v>
      </c>
      <c r="X45" s="717"/>
      <c r="Y45" s="3328"/>
      <c r="Z45" s="718">
        <f t="shared" si="13"/>
        <v>111</v>
      </c>
      <c r="AA45" s="1535">
        <f t="shared" si="3"/>
        <v>1</v>
      </c>
      <c r="AB45" s="1535">
        <f t="shared" si="4"/>
        <v>1</v>
      </c>
      <c r="AC45" s="1535">
        <f t="shared" si="5"/>
        <v>1</v>
      </c>
    </row>
    <row r="46" spans="1:29" ht="15">
      <c r="A46" s="437" t="s">
        <v>2541</v>
      </c>
      <c r="B46" s="2166" t="s">
        <v>2577</v>
      </c>
      <c r="C46" s="636" t="s">
        <v>1</v>
      </c>
      <c r="D46" s="439"/>
      <c r="E46" s="440"/>
      <c r="F46" s="441"/>
      <c r="G46" s="442"/>
      <c r="H46" s="443"/>
      <c r="I46" s="440"/>
      <c r="J46" s="443"/>
      <c r="K46" s="721"/>
      <c r="L46" s="2951"/>
      <c r="M46" s="2952"/>
      <c r="N46" s="2943"/>
      <c r="O46" s="2952"/>
      <c r="P46" s="3321" t="str">
        <f>A46</f>
        <v>成交单价</v>
      </c>
      <c r="Q46" s="3321"/>
      <c r="R46" s="3316">
        <f>E46</f>
        <v>0</v>
      </c>
      <c r="S46" s="3316"/>
      <c r="T46" s="3316">
        <f>G46</f>
        <v>0</v>
      </c>
      <c r="U46" s="3316"/>
      <c r="V46" s="3316">
        <f>I46</f>
        <v>0</v>
      </c>
      <c r="W46" s="3316"/>
      <c r="X46" s="697"/>
      <c r="Y46" s="719"/>
      <c r="Z46" s="697"/>
      <c r="AA46" s="697"/>
      <c r="AB46" s="697"/>
      <c r="AC46" s="697"/>
    </row>
    <row r="47" spans="1:29" ht="15.75" thickBot="1">
      <c r="A47" s="444" t="s">
        <v>2490</v>
      </c>
      <c r="B47" s="637"/>
      <c r="C47" s="447" t="e">
        <f>R48</f>
        <v>#DIV/0!</v>
      </c>
      <c r="D47" s="2536" t="s">
        <v>2880</v>
      </c>
      <c r="E47" s="447" t="e">
        <f>R47</f>
        <v>#DIV/0!</v>
      </c>
      <c r="F47" s="2537"/>
      <c r="G47" s="446" t="e">
        <f>T47</f>
        <v>#DIV/0!</v>
      </c>
      <c r="H47" s="2537"/>
      <c r="I47" s="447" t="e">
        <f>V47</f>
        <v>#DIV/0!</v>
      </c>
      <c r="J47" s="2537"/>
      <c r="K47" s="2539">
        <f>F47+H47+J47</f>
        <v>0</v>
      </c>
      <c r="L47" s="2951"/>
      <c r="M47" s="2952"/>
      <c r="N47" s="2952"/>
      <c r="O47" s="2952"/>
      <c r="P47" s="3321" t="str">
        <f>A47</f>
        <v>比较价值（元/平方米）</v>
      </c>
      <c r="Q47" s="3321"/>
      <c r="R47" s="3351" t="e">
        <f>ROUND(PRODUCT(R46,AA7:AA45),0)</f>
        <v>#DIV/0!</v>
      </c>
      <c r="S47" s="3351"/>
      <c r="T47" s="3351" t="e">
        <f>ROUND(PRODUCT(T46,AB7:AB45),0)</f>
        <v>#DIV/0!</v>
      </c>
      <c r="U47" s="3351"/>
      <c r="V47" s="3351" t="e">
        <f>ROUND(PRODUCT(V46,AC7:AC45),0)</f>
        <v>#DIV/0!</v>
      </c>
      <c r="W47" s="3351"/>
      <c r="X47" s="697"/>
      <c r="Y47" s="697"/>
      <c r="Z47" s="697"/>
      <c r="AA47" s="697"/>
      <c r="AB47" s="697"/>
      <c r="AC47" s="697"/>
    </row>
    <row r="48" spans="1:29" ht="15.75" thickBot="1">
      <c r="A48" s="448" t="s">
        <v>2578</v>
      </c>
      <c r="B48" s="449"/>
      <c r="C48" s="450" t="e">
        <f>R48</f>
        <v>#DIV/0!</v>
      </c>
      <c r="D48" s="450"/>
      <c r="E48" s="450"/>
      <c r="F48" s="450"/>
      <c r="G48" s="450"/>
      <c r="H48" s="450"/>
      <c r="I48" s="450"/>
      <c r="J48" s="450"/>
      <c r="K48" s="722"/>
      <c r="L48" s="2951"/>
      <c r="M48" s="2952"/>
      <c r="N48" s="2952"/>
      <c r="O48" s="2952"/>
      <c r="P48" s="3318" t="str">
        <f>A48</f>
        <v>估价对象XX用房的比较价值（楼面单价，元/平方米）</v>
      </c>
      <c r="Q48" s="3319"/>
      <c r="R48" s="3352" t="e">
        <f>ROUND(IF(D47="简单平均",AVERAGE(R47:W47),R47*F47+T47*H47+V47*J47),0)</f>
        <v>#DIV/0!</v>
      </c>
      <c r="S48" s="3352"/>
      <c r="T48" s="3352"/>
      <c r="U48" s="3352"/>
      <c r="V48" s="3352"/>
      <c r="W48" s="3352"/>
      <c r="X48" s="697"/>
      <c r="Y48" s="697"/>
      <c r="Z48" s="697"/>
      <c r="AA48" s="697"/>
      <c r="AB48" s="697"/>
      <c r="AC48" s="697"/>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0"/>
      <c r="D54" s="698"/>
      <c r="E54" s="698"/>
      <c r="F54" s="698"/>
      <c r="G54" s="698"/>
      <c r="H54" s="698"/>
      <c r="I54" s="698"/>
      <c r="J54" s="698"/>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8" t="s">
        <v>2579</v>
      </c>
      <c r="B55" s="639" t="s">
        <v>2580</v>
      </c>
      <c r="C55" s="2167" t="s">
        <v>2581</v>
      </c>
      <c r="D55" s="2168" t="s">
        <v>2582</v>
      </c>
      <c r="E55" s="640" t="s">
        <v>2583</v>
      </c>
      <c r="F55" s="1019" t="s">
        <v>2584</v>
      </c>
      <c r="G55" s="3304" t="s">
        <v>2585</v>
      </c>
      <c r="H55" s="3353"/>
      <c r="I55" s="139"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6" customFormat="1">
      <c r="A56" s="642" t="s">
        <v>2588</v>
      </c>
      <c r="B56" s="643" t="e">
        <f>C48</f>
        <v>#DIV/0!</v>
      </c>
      <c r="C56" s="644">
        <v>1</v>
      </c>
      <c r="D56" s="1073">
        <v>1</v>
      </c>
      <c r="E56" s="644">
        <f>'数据-汇总表'!E8+'数据-汇总表'!E9</f>
        <v>27173.91</v>
      </c>
      <c r="F56" s="1015" t="e">
        <f t="shared" ref="F56:F65" si="15">ROUND(B56*E56/10000,0)</f>
        <v>#DIV/0!</v>
      </c>
      <c r="G56" s="3303"/>
      <c r="H56" s="3321"/>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6" customFormat="1">
      <c r="A57" s="647" t="s">
        <v>2589</v>
      </c>
      <c r="B57" s="223" t="e">
        <f>ROUND($C$48*C57*D57,0)</f>
        <v>#DIV/0!</v>
      </c>
      <c r="C57" s="175">
        <f t="shared" ref="C57:C65" si="16">IF($C$55="北京市系数",I57,J57)</f>
        <v>0</v>
      </c>
      <c r="D57" s="1074">
        <v>0.25</v>
      </c>
      <c r="E57" s="648"/>
      <c r="F57" s="1015" t="e">
        <f t="shared" si="15"/>
        <v>#DIV/0!</v>
      </c>
      <c r="G57" s="3354" t="s">
        <v>2590</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6" customFormat="1">
      <c r="A58" s="647" t="s">
        <v>2591</v>
      </c>
      <c r="B58" s="223" t="e">
        <f t="shared" ref="B58:B65" si="17">ROUND($C$48*C58*D58,0)</f>
        <v>#DIV/0!</v>
      </c>
      <c r="C58" s="175">
        <f t="shared" si="16"/>
        <v>0</v>
      </c>
      <c r="D58" s="1074">
        <v>0.25</v>
      </c>
      <c r="E58" s="648"/>
      <c r="F58" s="1015" t="e">
        <f t="shared" si="15"/>
        <v>#DIV/0!</v>
      </c>
      <c r="G58" s="3354"/>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6" customFormat="1">
      <c r="A59" s="647" t="s">
        <v>2592</v>
      </c>
      <c r="B59" s="223" t="e">
        <f t="shared" si="17"/>
        <v>#DIV/0!</v>
      </c>
      <c r="C59" s="175">
        <f t="shared" si="16"/>
        <v>0</v>
      </c>
      <c r="D59" s="1074">
        <v>0.25</v>
      </c>
      <c r="E59" s="648"/>
      <c r="F59" s="1015" t="e">
        <f t="shared" si="15"/>
        <v>#DIV/0!</v>
      </c>
      <c r="G59" s="3354"/>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6" customFormat="1">
      <c r="A60" s="647" t="s">
        <v>2593</v>
      </c>
      <c r="B60" s="223" t="e">
        <f t="shared" si="17"/>
        <v>#DIV/0!</v>
      </c>
      <c r="C60" s="175">
        <f t="shared" si="16"/>
        <v>0</v>
      </c>
      <c r="D60" s="1074">
        <v>0.25</v>
      </c>
      <c r="E60" s="648"/>
      <c r="F60" s="1015" t="e">
        <f t="shared" si="15"/>
        <v>#DIV/0!</v>
      </c>
      <c r="G60" s="3354"/>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6" customFormat="1">
      <c r="A61" s="647" t="s">
        <v>2594</v>
      </c>
      <c r="B61" s="223" t="e">
        <f t="shared" si="17"/>
        <v>#DIV/0!</v>
      </c>
      <c r="C61" s="175">
        <f t="shared" si="16"/>
        <v>0</v>
      </c>
      <c r="D61" s="1074">
        <v>0.25</v>
      </c>
      <c r="E61" s="222">
        <f>'数据-汇总表'!E11</f>
        <v>0</v>
      </c>
      <c r="F61" s="1015" t="e">
        <f t="shared" si="15"/>
        <v>#DIV/0!</v>
      </c>
      <c r="G61" s="2171" t="s">
        <v>2595</v>
      </c>
      <c r="H61" s="1016">
        <f>项目基本情况!C37</f>
        <v>0</v>
      </c>
      <c r="I61" s="1020">
        <f>SUMIF(修正!A45:A56,H61,修正!F45:F56)</f>
        <v>0</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6" customFormat="1">
      <c r="A62" s="647" t="s">
        <v>2596</v>
      </c>
      <c r="B62" s="223" t="e">
        <f t="shared" si="17"/>
        <v>#DIV/0!</v>
      </c>
      <c r="C62" s="175">
        <f t="shared" si="16"/>
        <v>0</v>
      </c>
      <c r="D62" s="1074">
        <v>0.25</v>
      </c>
      <c r="E62" s="222">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6" customFormat="1">
      <c r="A63" s="647"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6" customFormat="1">
      <c r="A64" s="647" t="s">
        <v>2600</v>
      </c>
      <c r="B64" s="223" t="e">
        <f t="shared" si="17"/>
        <v>#DIV/0!</v>
      </c>
      <c r="C64" s="175">
        <f t="shared" si="16"/>
        <v>0</v>
      </c>
      <c r="D64" s="1074">
        <v>0.25</v>
      </c>
      <c r="E64" s="222">
        <f>'数据-汇总表'!E14</f>
        <v>0</v>
      </c>
      <c r="F64" s="1015" t="e">
        <f t="shared" si="15"/>
        <v>#DIV/0!</v>
      </c>
      <c r="G64" s="2171" t="s">
        <v>2590</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6" customFormat="1" ht="15" thickBot="1">
      <c r="A65" s="647" t="s">
        <v>2601</v>
      </c>
      <c r="B65" s="223" t="e">
        <f t="shared" si="17"/>
        <v>#DIV/0!</v>
      </c>
      <c r="C65" s="175">
        <f t="shared" si="16"/>
        <v>0</v>
      </c>
      <c r="D65" s="1074">
        <v>0.25</v>
      </c>
      <c r="E65" s="222">
        <f>'数据-汇总表'!E15</f>
        <v>0</v>
      </c>
      <c r="F65" s="1015" t="e">
        <f t="shared" si="15"/>
        <v>#DIV/0!</v>
      </c>
      <c r="G65" s="2172" t="s">
        <v>2595</v>
      </c>
      <c r="H65" s="1026">
        <f>项目基本情况!C37</f>
        <v>0</v>
      </c>
      <c r="I65" s="1022">
        <f>SUMIF(修正!A45:A56,H65,修正!H45:H56)</f>
        <v>0</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6" customFormat="1" ht="13.5" thickBot="1">
      <c r="A66" s="649" t="s">
        <v>2602</v>
      </c>
      <c r="B66" s="650" t="s">
        <v>28</v>
      </c>
      <c r="C66" s="650" t="s">
        <v>29</v>
      </c>
      <c r="D66" s="650" t="s">
        <v>997</v>
      </c>
      <c r="E66" s="650">
        <f>IF(B46="楼面地价",SUM(E56:E65),'数据-汇总表'!D3)</f>
        <v>27173.91</v>
      </c>
      <c r="F66" s="651" t="e">
        <f>IF(B46="楼面地价",SUM(F56:F65),ROUND(C48*E66/10000,0))</f>
        <v>#DIV/0!</v>
      </c>
      <c r="G66" s="724"/>
      <c r="H66" s="724"/>
      <c r="I66" s="724"/>
      <c r="J66" s="724"/>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7"/>
      <c r="B67" s="699"/>
      <c r="C67" s="700"/>
      <c r="D67" s="697"/>
      <c r="E67" s="697"/>
      <c r="F67" s="697"/>
      <c r="G67" s="697"/>
      <c r="H67" s="697"/>
      <c r="I67" s="697"/>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7"/>
      <c r="B68" s="699"/>
      <c r="C68" s="699" t="str">
        <f>YEAR(C7)&amp;"-"&amp;MONTH(C7)&amp;"-1"</f>
        <v>2021-12-1</v>
      </c>
      <c r="D68" s="699">
        <f>EDATE(C68,-3)</f>
        <v>44440</v>
      </c>
      <c r="E68" s="699">
        <f>EDATE(D68,-3)</f>
        <v>44348</v>
      </c>
      <c r="F68" s="699">
        <f t="shared" ref="F68:O68" si="18">EDATE(E68,-3)</f>
        <v>44256</v>
      </c>
      <c r="G68" s="699">
        <f t="shared" si="18"/>
        <v>44166</v>
      </c>
      <c r="H68" s="699">
        <f t="shared" si="18"/>
        <v>44075</v>
      </c>
      <c r="I68" s="699">
        <f t="shared" si="18"/>
        <v>43983</v>
      </c>
      <c r="J68" s="699">
        <f t="shared" si="18"/>
        <v>43891</v>
      </c>
      <c r="K68" s="699">
        <f t="shared" si="18"/>
        <v>43800</v>
      </c>
      <c r="L68" s="699">
        <f t="shared" si="18"/>
        <v>43709</v>
      </c>
      <c r="M68" s="699">
        <f t="shared" si="18"/>
        <v>43617</v>
      </c>
      <c r="N68" s="699">
        <f t="shared" si="18"/>
        <v>43525</v>
      </c>
      <c r="O68" s="699">
        <f t="shared" si="18"/>
        <v>43435</v>
      </c>
      <c r="P68" s="2952"/>
      <c r="Q68" s="2952"/>
      <c r="R68" s="2952"/>
      <c r="S68" s="2952"/>
      <c r="T68" s="2952"/>
      <c r="U68" s="2952"/>
      <c r="V68" s="2952"/>
      <c r="W68" s="2952"/>
      <c r="X68" s="2952"/>
      <c r="Y68" s="2952"/>
      <c r="Z68" s="2952"/>
      <c r="AA68" s="2952"/>
      <c r="AB68" s="2952"/>
      <c r="AC68" s="2952"/>
    </row>
    <row r="69" spans="1:29" ht="21.75" thickBot="1">
      <c r="A69" s="701" t="s">
        <v>2495</v>
      </c>
      <c r="B69" s="697"/>
      <c r="C69" s="702"/>
      <c r="D69" s="702"/>
      <c r="E69" s="702"/>
      <c r="F69" s="703"/>
      <c r="G69" s="703"/>
      <c r="H69" s="702"/>
      <c r="I69" s="702"/>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4" customFormat="1" ht="15">
      <c r="A70" s="2173" t="s">
        <v>2603</v>
      </c>
      <c r="B70" s="1267"/>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8"/>
      <c r="N71" s="551"/>
      <c r="O71" s="1339"/>
      <c r="P71" s="2966"/>
      <c r="Q71" s="2886"/>
      <c r="R71" s="2886"/>
      <c r="S71" s="2886"/>
      <c r="T71" s="2886"/>
      <c r="U71" s="2886"/>
      <c r="V71" s="2886"/>
      <c r="W71" s="2886"/>
      <c r="X71" s="2886"/>
      <c r="Y71" s="2886"/>
      <c r="Z71" s="2886"/>
      <c r="AA71" s="2886"/>
      <c r="AB71" s="2886"/>
      <c r="AC71" s="2886"/>
    </row>
    <row r="72" spans="1:29" s="113" customFormat="1" ht="15.75" thickBot="1">
      <c r="A72" s="471" t="s">
        <v>2406</v>
      </c>
      <c r="B72" s="472"/>
      <c r="C72" s="473"/>
      <c r="D72" s="474"/>
      <c r="E72" s="474"/>
      <c r="F72" s="474"/>
      <c r="G72" s="474"/>
      <c r="H72" s="474"/>
      <c r="I72" s="474"/>
      <c r="J72" s="474"/>
      <c r="K72" s="474"/>
      <c r="L72" s="474"/>
      <c r="M72" s="475"/>
      <c r="N72" s="474"/>
      <c r="O72" s="1072"/>
      <c r="P72" s="2966"/>
      <c r="Q72" s="2966"/>
      <c r="R72" s="2886"/>
      <c r="S72" s="2886"/>
      <c r="T72" s="2886"/>
      <c r="U72" s="2886"/>
      <c r="V72" s="2886"/>
      <c r="W72" s="2886"/>
      <c r="X72" s="2886"/>
      <c r="Y72" s="2886"/>
      <c r="Z72" s="2886"/>
      <c r="AA72" s="2886"/>
      <c r="AB72" s="2886"/>
      <c r="AC72" s="2886"/>
    </row>
    <row r="73" spans="1:29" s="113" customFormat="1" ht="15">
      <c r="A73" s="477" t="s">
        <v>2371</v>
      </c>
      <c r="B73" s="466"/>
      <c r="C73" s="478" t="s">
        <v>2473</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3" customFormat="1" ht="15.75" thickBot="1">
      <c r="A74" s="477"/>
      <c r="B74" s="466"/>
      <c r="C74" s="593">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2409</v>
      </c>
      <c r="B75" s="484" t="s">
        <v>2375</v>
      </c>
      <c r="C75" s="486"/>
      <c r="D75" s="486"/>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c r="D76" s="492"/>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2378</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c r="D80" s="505"/>
      <c r="E80" s="505"/>
      <c r="F80" s="505"/>
      <c r="G80" s="505"/>
      <c r="H80" s="505"/>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2380</v>
      </c>
      <c r="B88" s="484" t="s">
        <v>2417</v>
      </c>
      <c r="C88" s="529" t="s">
        <v>2418</v>
      </c>
      <c r="D88" s="529" t="s">
        <v>2419</v>
      </c>
      <c r="E88" s="529" t="s">
        <v>2420</v>
      </c>
      <c r="F88" s="529" t="s">
        <v>2421</v>
      </c>
      <c r="G88" s="529" t="s">
        <v>2422</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2605</v>
      </c>
      <c r="C90" s="534" t="s">
        <v>2418</v>
      </c>
      <c r="D90" s="534" t="s">
        <v>2419</v>
      </c>
      <c r="E90" s="534" t="s">
        <v>2420</v>
      </c>
      <c r="F90" s="534" t="s">
        <v>2421</v>
      </c>
      <c r="G90" s="534" t="s">
        <v>2422</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2518</v>
      </c>
      <c r="C92" s="534" t="s">
        <v>2418</v>
      </c>
      <c r="D92" s="534" t="s">
        <v>2419</v>
      </c>
      <c r="E92" s="534" t="s">
        <v>2420</v>
      </c>
      <c r="F92" s="534" t="s">
        <v>2421</v>
      </c>
      <c r="G92" s="534" t="s">
        <v>2422</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2423</v>
      </c>
      <c r="C94" s="534" t="s">
        <v>2418</v>
      </c>
      <c r="D94" s="534" t="s">
        <v>2419</v>
      </c>
      <c r="E94" s="534" t="s">
        <v>2420</v>
      </c>
      <c r="F94" s="534" t="s">
        <v>2421</v>
      </c>
      <c r="G94" s="534" t="s">
        <v>2422</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3" customFormat="1" ht="15.75" thickTop="1">
      <c r="A96" s="535"/>
      <c r="B96" s="494" t="s">
        <v>2606</v>
      </c>
      <c r="C96" s="534" t="s">
        <v>2418</v>
      </c>
      <c r="D96" s="534" t="s">
        <v>2419</v>
      </c>
      <c r="E96" s="534" t="s">
        <v>2420</v>
      </c>
      <c r="F96" s="534" t="s">
        <v>2421</v>
      </c>
      <c r="G96" s="534" t="s">
        <v>2422</v>
      </c>
      <c r="H96" s="534"/>
      <c r="I96" s="534"/>
      <c r="J96" s="534"/>
      <c r="K96" s="534"/>
      <c r="L96" s="652"/>
      <c r="M96" s="576"/>
      <c r="N96" s="2979"/>
      <c r="O96" s="2979"/>
      <c r="P96" s="3005"/>
      <c r="Q96" s="2966"/>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6"/>
      <c r="N98" s="2979"/>
      <c r="O98" s="2979"/>
      <c r="P98" s="3005"/>
      <c r="Q98" s="2966"/>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2476</v>
      </c>
      <c r="C102" s="614" t="s">
        <v>2496</v>
      </c>
      <c r="D102" s="614" t="s">
        <v>2497</v>
      </c>
      <c r="E102" s="614" t="s">
        <v>2498</v>
      </c>
      <c r="F102" s="614" t="s">
        <v>2499</v>
      </c>
      <c r="G102" s="614" t="s">
        <v>2500</v>
      </c>
      <c r="H102" s="556"/>
      <c r="I102" s="556"/>
      <c r="J102" s="556"/>
      <c r="K102" s="556"/>
      <c r="L102" s="556"/>
      <c r="M102" s="1292"/>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2512</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2571</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29"/>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1"/>
      <c r="E115" s="631"/>
      <c r="F115" s="631"/>
      <c r="G115" s="631"/>
      <c r="H115" s="631"/>
      <c r="I115" s="631"/>
      <c r="J115" s="631"/>
      <c r="K115" s="631"/>
      <c r="L115" s="631"/>
      <c r="M115" s="653"/>
      <c r="N115" s="2981"/>
      <c r="O115" s="2981"/>
      <c r="P115" s="3006"/>
      <c r="Q115" s="2973"/>
      <c r="R115" s="2974"/>
      <c r="S115" s="2974"/>
      <c r="T115" s="2974"/>
      <c r="U115" s="2974"/>
      <c r="V115" s="2974"/>
      <c r="W115" s="2974"/>
      <c r="X115" s="2974"/>
      <c r="Y115" s="2974"/>
      <c r="Z115" s="2974"/>
      <c r="AA115" s="2974"/>
      <c r="AB115" s="2974"/>
      <c r="AC115" s="2974"/>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c r="D117" s="551"/>
      <c r="E117" s="551"/>
      <c r="F117" s="551"/>
      <c r="G117" s="551"/>
      <c r="H117" s="551"/>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c r="D118" s="547"/>
      <c r="E118" s="547"/>
      <c r="F118" s="547"/>
      <c r="G118" s="547"/>
      <c r="H118" s="547"/>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2613</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2614</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2615</v>
      </c>
      <c r="C123" s="510"/>
      <c r="D123" s="510"/>
      <c r="E123" s="510"/>
      <c r="F123" s="510"/>
      <c r="G123" s="510"/>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2616</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4"/>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2148</v>
      </c>
      <c r="B2" s="625" t="e">
        <f>F61</f>
        <v>#DIV/0!</v>
      </c>
      <c r="C2" s="1037"/>
      <c r="D2" s="1037"/>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7" customFormat="1" ht="28.5" customHeight="1" thickBot="1">
      <c r="A3" s="208" t="s">
        <v>2150</v>
      </c>
      <c r="B3" s="565" t="e">
        <f>ROUND(IF(D3="",B2*10000/'数据-汇总表'!E3,B2*10000/D3),0)</f>
        <v>#DIV/0!</v>
      </c>
      <c r="C3" s="208" t="s">
        <v>2567</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60" t="s">
        <v>2466</v>
      </c>
      <c r="B4" s="361"/>
      <c r="C4" s="3304" t="s">
        <v>2467</v>
      </c>
      <c r="D4" s="3305"/>
      <c r="E4" s="3306" t="s">
        <v>2468</v>
      </c>
      <c r="F4" s="3307"/>
      <c r="G4" s="3304" t="s">
        <v>2469</v>
      </c>
      <c r="H4" s="3305"/>
      <c r="I4" s="3304" t="s">
        <v>2470</v>
      </c>
      <c r="J4" s="3305"/>
      <c r="K4" s="566" t="s">
        <v>2471</v>
      </c>
      <c r="L4" s="2942"/>
      <c r="M4" s="2943"/>
      <c r="N4" s="2943"/>
      <c r="O4" s="2943"/>
      <c r="P4" s="3308" t="s">
        <v>2472</v>
      </c>
      <c r="Q4" s="3309"/>
      <c r="R4" s="3291" t="s">
        <v>2468</v>
      </c>
      <c r="S4" s="3292"/>
      <c r="T4" s="3291" t="s">
        <v>2469</v>
      </c>
      <c r="U4" s="3292"/>
      <c r="V4" s="3316" t="s">
        <v>2470</v>
      </c>
      <c r="W4" s="3316"/>
      <c r="X4" s="1537"/>
      <c r="Y4" s="3291" t="s">
        <v>2472</v>
      </c>
      <c r="Z4" s="3292"/>
      <c r="AA4" s="3286" t="s">
        <v>2468</v>
      </c>
      <c r="AB4" s="3287" t="s">
        <v>2469</v>
      </c>
      <c r="AC4" s="3286" t="s">
        <v>2470</v>
      </c>
    </row>
    <row r="5" spans="1:29" ht="15">
      <c r="A5" s="363"/>
      <c r="B5" s="364"/>
      <c r="C5" s="3297" t="s">
        <v>2363</v>
      </c>
      <c r="D5" s="3298"/>
      <c r="E5" s="3295" t="s">
        <v>2364</v>
      </c>
      <c r="F5" s="3296"/>
      <c r="G5" s="3297" t="s">
        <v>2365</v>
      </c>
      <c r="H5" s="3298"/>
      <c r="I5" s="3297" t="s">
        <v>2366</v>
      </c>
      <c r="J5" s="3298"/>
      <c r="K5" s="566"/>
      <c r="L5" s="2942"/>
      <c r="M5" s="2943"/>
      <c r="N5" s="2943"/>
      <c r="O5" s="2943"/>
      <c r="P5" s="3310"/>
      <c r="Q5" s="3311"/>
      <c r="R5" s="3293"/>
      <c r="S5" s="3294"/>
      <c r="T5" s="3293"/>
      <c r="U5" s="3294"/>
      <c r="V5" s="3316"/>
      <c r="W5" s="3316"/>
      <c r="X5" s="1537"/>
      <c r="Y5" s="3293"/>
      <c r="Z5" s="3294"/>
      <c r="AA5" s="3287"/>
      <c r="AB5" s="3287"/>
      <c r="AC5" s="3287"/>
    </row>
    <row r="6" spans="1:29" ht="15.75" thickBot="1">
      <c r="A6" s="365"/>
      <c r="B6" s="366"/>
      <c r="C6" s="3355" t="s">
        <v>2618</v>
      </c>
      <c r="D6" s="3356"/>
      <c r="E6" s="3357" t="s">
        <v>2618</v>
      </c>
      <c r="F6" s="3358"/>
      <c r="G6" s="3355" t="s">
        <v>2618</v>
      </c>
      <c r="H6" s="3356"/>
      <c r="I6" s="3355" t="s">
        <v>2618</v>
      </c>
      <c r="J6" s="3356"/>
      <c r="K6" s="566" t="s">
        <v>2368</v>
      </c>
      <c r="L6" s="2942"/>
      <c r="M6" s="2943"/>
      <c r="N6" s="2943"/>
      <c r="O6" s="2943"/>
      <c r="P6" s="3312"/>
      <c r="Q6" s="3313"/>
      <c r="R6" s="3293"/>
      <c r="S6" s="3294"/>
      <c r="T6" s="3314"/>
      <c r="U6" s="3315"/>
      <c r="V6" s="3316"/>
      <c r="W6" s="3316"/>
      <c r="X6" s="1537"/>
      <c r="Y6" s="3314"/>
      <c r="Z6" s="3315"/>
      <c r="AA6" s="3288"/>
      <c r="AB6" s="3288"/>
      <c r="AC6" s="3288"/>
    </row>
    <row r="7" spans="1:29" s="113" customFormat="1" ht="15.75" thickBot="1">
      <c r="A7" s="367" t="s">
        <v>2369</v>
      </c>
      <c r="B7" s="368"/>
      <c r="C7" s="369">
        <f>'数据-取费表'!B2</f>
        <v>44544</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289" t="s">
        <v>2370</v>
      </c>
      <c r="Q7" s="3317"/>
      <c r="R7" s="708" t="s">
        <v>17</v>
      </c>
      <c r="S7" s="709">
        <f t="shared" ref="S7:S15" si="0">F7</f>
        <v>0</v>
      </c>
      <c r="T7" s="708" t="s">
        <v>17</v>
      </c>
      <c r="U7" s="709">
        <f t="shared" ref="U7:U15" si="1">H7</f>
        <v>0</v>
      </c>
      <c r="V7" s="708" t="s">
        <v>17</v>
      </c>
      <c r="W7" s="709">
        <f t="shared" ref="W7:W15" si="2">J7</f>
        <v>0</v>
      </c>
      <c r="X7" s="710"/>
      <c r="Y7" s="3289" t="s">
        <v>2370</v>
      </c>
      <c r="Z7" s="3290"/>
      <c r="AA7" s="711" t="e">
        <f>D7/F7</f>
        <v>#DIV/0!</v>
      </c>
      <c r="AB7" s="711" t="e">
        <f>D7/H7</f>
        <v>#DIV/0!</v>
      </c>
      <c r="AC7" s="711"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289" t="s">
        <v>2373</v>
      </c>
      <c r="Q8" s="3290"/>
      <c r="R8" s="708" t="s">
        <v>17</v>
      </c>
      <c r="S8" s="709">
        <f t="shared" si="0"/>
        <v>0</v>
      </c>
      <c r="T8" s="708" t="s">
        <v>17</v>
      </c>
      <c r="U8" s="709">
        <f t="shared" si="1"/>
        <v>0</v>
      </c>
      <c r="V8" s="708" t="s">
        <v>17</v>
      </c>
      <c r="W8" s="709">
        <f t="shared" si="2"/>
        <v>0</v>
      </c>
      <c r="X8" s="710"/>
      <c r="Y8" s="3289" t="s">
        <v>2373</v>
      </c>
      <c r="Z8" s="3290"/>
      <c r="AA8" s="711" t="e">
        <f t="shared" ref="AA8:AA40" si="3">D8/F8</f>
        <v>#DIV/0!</v>
      </c>
      <c r="AB8" s="711" t="e">
        <f t="shared" ref="AB8:AB40" si="4">D8/H8</f>
        <v>#DIV/0!</v>
      </c>
      <c r="AC8" s="711" t="e">
        <f t="shared" ref="AC8:AC40" si="5">D8/J8</f>
        <v>#DIV/0!</v>
      </c>
    </row>
    <row r="9" spans="1:29" s="113" customFormat="1">
      <c r="A9" s="374" t="s">
        <v>2374</v>
      </c>
      <c r="B9" s="67" t="s">
        <v>2375</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321" t="s">
        <v>2376</v>
      </c>
      <c r="Q9" s="1525" t="str">
        <f t="shared" ref="Q9:Q15" si="6">B9</f>
        <v>用途</v>
      </c>
      <c r="R9" s="708" t="s">
        <v>17</v>
      </c>
      <c r="S9" s="709">
        <f t="shared" si="0"/>
        <v>100</v>
      </c>
      <c r="T9" s="708" t="s">
        <v>17</v>
      </c>
      <c r="U9" s="709">
        <f t="shared" si="1"/>
        <v>100</v>
      </c>
      <c r="V9" s="708" t="s">
        <v>17</v>
      </c>
      <c r="W9" s="709">
        <f t="shared" si="2"/>
        <v>100</v>
      </c>
      <c r="X9" s="710"/>
      <c r="Y9" s="3231" t="s">
        <v>2377</v>
      </c>
      <c r="Z9" s="55" t="str">
        <f t="shared" ref="Z9:Z15" si="7">Q9</f>
        <v>用途</v>
      </c>
      <c r="AA9" s="711">
        <f t="shared" si="3"/>
        <v>1</v>
      </c>
      <c r="AB9" s="711">
        <f t="shared" si="4"/>
        <v>1</v>
      </c>
      <c r="AC9" s="711">
        <f t="shared" si="5"/>
        <v>1</v>
      </c>
    </row>
    <row r="10" spans="1:29" s="385" customFormat="1" ht="27">
      <c r="A10" s="379"/>
      <c r="B10" s="380" t="s">
        <v>2378</v>
      </c>
      <c r="C10" s="390"/>
      <c r="D10" s="131">
        <v>100</v>
      </c>
      <c r="E10" s="390"/>
      <c r="F10" s="131">
        <f>ROUND(100/'数据-取费表'!G16,0)</f>
        <v>110</v>
      </c>
      <c r="G10" s="390"/>
      <c r="H10" s="131">
        <f>ROUND(100/'数据-取费表'!G16,0)</f>
        <v>110</v>
      </c>
      <c r="I10" s="390"/>
      <c r="J10" s="131">
        <f>ROUND(100/'数据-取费表'!G16,0)</f>
        <v>110</v>
      </c>
      <c r="K10" s="626"/>
      <c r="L10" s="2946"/>
      <c r="M10" s="2947"/>
      <c r="N10" s="2947"/>
      <c r="O10" s="3000"/>
      <c r="P10" s="3321"/>
      <c r="Q10" s="1525" t="str">
        <f t="shared" si="6"/>
        <v>土地使用年限（年）</v>
      </c>
      <c r="R10" s="708" t="s">
        <v>17</v>
      </c>
      <c r="S10" s="709">
        <f t="shared" si="0"/>
        <v>110</v>
      </c>
      <c r="T10" s="708" t="s">
        <v>17</v>
      </c>
      <c r="U10" s="709">
        <f t="shared" si="1"/>
        <v>110</v>
      </c>
      <c r="V10" s="708" t="s">
        <v>17</v>
      </c>
      <c r="W10" s="709">
        <f t="shared" si="2"/>
        <v>110</v>
      </c>
      <c r="X10" s="710"/>
      <c r="Y10" s="3231"/>
      <c r="Z10" s="55" t="str">
        <f t="shared" si="7"/>
        <v>土地使用年限（年）</v>
      </c>
      <c r="AA10" s="711">
        <f t="shared" si="3"/>
        <v>0.90909090909090906</v>
      </c>
      <c r="AB10" s="711">
        <f t="shared" si="4"/>
        <v>0.90909090909090906</v>
      </c>
      <c r="AC10" s="711">
        <f t="shared" si="5"/>
        <v>0.90909090909090906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48"/>
      <c r="M11" s="2943"/>
      <c r="N11" s="2943"/>
      <c r="O11" s="3001"/>
      <c r="P11" s="3321"/>
      <c r="Q11" s="1525" t="str">
        <f t="shared" si="6"/>
        <v>容积率</v>
      </c>
      <c r="R11" s="708" t="s">
        <v>17</v>
      </c>
      <c r="S11" s="709" t="e">
        <f t="shared" si="0"/>
        <v>#N/A</v>
      </c>
      <c r="T11" s="708" t="s">
        <v>17</v>
      </c>
      <c r="U11" s="709" t="e">
        <f t="shared" si="1"/>
        <v>#N/A</v>
      </c>
      <c r="V11" s="708" t="s">
        <v>17</v>
      </c>
      <c r="W11" s="709" t="e">
        <f t="shared" si="2"/>
        <v>#N/A</v>
      </c>
      <c r="X11" s="710"/>
      <c r="Y11" s="3231"/>
      <c r="Z11" s="55" t="str">
        <f t="shared" si="7"/>
        <v>容积率</v>
      </c>
      <c r="AA11" s="711" t="e">
        <f t="shared" si="3"/>
        <v>#N/A</v>
      </c>
      <c r="AB11" s="711" t="e">
        <f t="shared" si="4"/>
        <v>#N/A</v>
      </c>
      <c r="AC11" s="711" t="e">
        <f t="shared" si="5"/>
        <v>#N/A</v>
      </c>
    </row>
    <row r="12" spans="1:29" s="113" customFormat="1" ht="15">
      <c r="A12" s="389"/>
      <c r="B12" s="2077">
        <v>111</v>
      </c>
      <c r="C12" s="390"/>
      <c r="D12" s="391">
        <v>100</v>
      </c>
      <c r="E12" s="505"/>
      <c r="F12" s="131">
        <f>SUMIF(77:77,E12,78:78)-SUMIF(77:77,C12,78:78)+100</f>
        <v>100</v>
      </c>
      <c r="G12" s="628"/>
      <c r="H12" s="131">
        <f>SUMIF(77:77,G12,78:78)-SUMIF(77:77,C12,78:78)+100</f>
        <v>100</v>
      </c>
      <c r="I12" s="505"/>
      <c r="J12" s="131">
        <f>SUMIF(77:77,I12,78:78)-SUMIF(77:77,C12,78:78)+100</f>
        <v>100</v>
      </c>
      <c r="K12" s="626"/>
      <c r="L12" s="2944"/>
      <c r="M12" s="2945"/>
      <c r="N12" s="2945"/>
      <c r="O12" s="2999"/>
      <c r="P12" s="3321"/>
      <c r="Q12" s="1525">
        <f t="shared" si="6"/>
        <v>111</v>
      </c>
      <c r="R12" s="708" t="s">
        <v>17</v>
      </c>
      <c r="S12" s="709">
        <f t="shared" si="0"/>
        <v>100</v>
      </c>
      <c r="T12" s="708" t="s">
        <v>17</v>
      </c>
      <c r="U12" s="709">
        <f t="shared" si="1"/>
        <v>100</v>
      </c>
      <c r="V12" s="708" t="s">
        <v>17</v>
      </c>
      <c r="W12" s="709">
        <f t="shared" si="2"/>
        <v>100</v>
      </c>
      <c r="X12" s="710"/>
      <c r="Y12" s="3231"/>
      <c r="Z12" s="55">
        <f t="shared" si="7"/>
        <v>111</v>
      </c>
      <c r="AA12" s="711">
        <f>D12/F12</f>
        <v>1</v>
      </c>
      <c r="AB12" s="711">
        <f>D12/H12</f>
        <v>1</v>
      </c>
      <c r="AC12" s="711">
        <f>D12/J12</f>
        <v>1</v>
      </c>
    </row>
    <row r="13" spans="1:29" ht="15">
      <c r="A13" s="386"/>
      <c r="B13" s="2077">
        <v>111</v>
      </c>
      <c r="C13" s="392"/>
      <c r="D13" s="393">
        <v>100</v>
      </c>
      <c r="E13" s="505"/>
      <c r="F13" s="131">
        <f>SUMIF(79:79,E13,80:80)-SUMIF(79:79,C13,80:80)+100</f>
        <v>100</v>
      </c>
      <c r="G13" s="628"/>
      <c r="H13" s="393">
        <f>SUMIF(79:79,G13,80:80)-SUMIF(79:79,C13,80:80)+100</f>
        <v>100</v>
      </c>
      <c r="I13" s="505"/>
      <c r="J13" s="393">
        <f>SUMIF(79:79,I13,80:80)-SUMIF(79:79,C13,80:80)+100</f>
        <v>100</v>
      </c>
      <c r="K13" s="626"/>
      <c r="L13" s="2949"/>
      <c r="M13" s="2943"/>
      <c r="N13" s="2943"/>
      <c r="O13" s="3001"/>
      <c r="P13" s="3321"/>
      <c r="Q13" s="1525">
        <f t="shared" si="6"/>
        <v>111</v>
      </c>
      <c r="R13" s="708" t="s">
        <v>17</v>
      </c>
      <c r="S13" s="709">
        <f t="shared" si="0"/>
        <v>100</v>
      </c>
      <c r="T13" s="708" t="s">
        <v>17</v>
      </c>
      <c r="U13" s="709">
        <f t="shared" si="1"/>
        <v>100</v>
      </c>
      <c r="V13" s="708" t="s">
        <v>17</v>
      </c>
      <c r="W13" s="709">
        <f t="shared" si="2"/>
        <v>100</v>
      </c>
      <c r="X13" s="710"/>
      <c r="Y13" s="3231"/>
      <c r="Z13" s="55">
        <f t="shared" si="7"/>
        <v>111</v>
      </c>
      <c r="AA13" s="711">
        <f t="shared" si="3"/>
        <v>1</v>
      </c>
      <c r="AB13" s="711">
        <f t="shared" si="4"/>
        <v>1</v>
      </c>
      <c r="AC13" s="711">
        <f t="shared" si="5"/>
        <v>1</v>
      </c>
    </row>
    <row r="14" spans="1:29" ht="15.75" thickBot="1">
      <c r="A14" s="394"/>
      <c r="B14" s="2079">
        <v>111</v>
      </c>
      <c r="C14" s="395"/>
      <c r="D14" s="396">
        <v>100</v>
      </c>
      <c r="E14" s="505"/>
      <c r="F14" s="396">
        <f>SUMIF(81:81,E14,82:82)-SUMIF(81:81,C14,82:82)+100</f>
        <v>100</v>
      </c>
      <c r="G14" s="628"/>
      <c r="H14" s="396">
        <f>SUMIF(81:81,G14,82:82)-SUMIF(81:81,C14,82:82)+100</f>
        <v>100</v>
      </c>
      <c r="I14" s="505"/>
      <c r="J14" s="396">
        <f>SUMIF(81:81,I14,82:82)-SUMIF(81:81,C14,82:82)+100</f>
        <v>100</v>
      </c>
      <c r="K14" s="626"/>
      <c r="L14" s="2949"/>
      <c r="M14" s="2943"/>
      <c r="N14" s="2943"/>
      <c r="O14" s="3001"/>
      <c r="P14" s="3321"/>
      <c r="Q14" s="1525">
        <f t="shared" si="6"/>
        <v>111</v>
      </c>
      <c r="R14" s="708" t="s">
        <v>17</v>
      </c>
      <c r="S14" s="709">
        <f t="shared" si="0"/>
        <v>100</v>
      </c>
      <c r="T14" s="708" t="s">
        <v>17</v>
      </c>
      <c r="U14" s="709">
        <f t="shared" si="1"/>
        <v>100</v>
      </c>
      <c r="V14" s="708" t="s">
        <v>17</v>
      </c>
      <c r="W14" s="709">
        <f t="shared" si="2"/>
        <v>100</v>
      </c>
      <c r="X14" s="710"/>
      <c r="Y14" s="3231"/>
      <c r="Z14" s="55">
        <f t="shared" si="7"/>
        <v>111</v>
      </c>
      <c r="AA14" s="711">
        <f t="shared" si="3"/>
        <v>1</v>
      </c>
      <c r="AB14" s="711">
        <f t="shared" si="4"/>
        <v>1</v>
      </c>
      <c r="AC14" s="711">
        <f t="shared" si="5"/>
        <v>1</v>
      </c>
    </row>
    <row r="15" spans="1:29" ht="15">
      <c r="A15" s="398" t="s">
        <v>2380</v>
      </c>
      <c r="B15" s="583" t="s">
        <v>2619</v>
      </c>
      <c r="C15" s="2155">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49"/>
      <c r="M15" s="2943"/>
      <c r="N15" s="2943"/>
      <c r="O15" s="3001"/>
      <c r="P15" s="3323" t="s">
        <v>2381</v>
      </c>
      <c r="Q15" s="1534" t="str">
        <f t="shared" si="6"/>
        <v>产业集聚程度</v>
      </c>
      <c r="R15" s="712" t="s">
        <v>17</v>
      </c>
      <c r="S15" s="713">
        <f t="shared" si="0"/>
        <v>100</v>
      </c>
      <c r="T15" s="712" t="s">
        <v>17</v>
      </c>
      <c r="U15" s="713">
        <f t="shared" si="1"/>
        <v>100</v>
      </c>
      <c r="V15" s="712" t="s">
        <v>17</v>
      </c>
      <c r="W15" s="713">
        <f t="shared" si="2"/>
        <v>100</v>
      </c>
      <c r="X15" s="1537"/>
      <c r="Y15" s="3323" t="s">
        <v>2381</v>
      </c>
      <c r="Z15" s="1538" t="str">
        <f t="shared" si="7"/>
        <v>产业集聚程度</v>
      </c>
      <c r="AA15" s="1535">
        <f t="shared" si="3"/>
        <v>1</v>
      </c>
      <c r="AB15" s="1535">
        <f t="shared" si="4"/>
        <v>1</v>
      </c>
      <c r="AC15" s="1535">
        <f t="shared" si="5"/>
        <v>1</v>
      </c>
    </row>
    <row r="16" spans="1:29" ht="15">
      <c r="A16" s="386"/>
      <c r="B16" s="584"/>
      <c r="C16" s="405"/>
      <c r="D16" s="406"/>
      <c r="E16" s="2088"/>
      <c r="F16" s="406"/>
      <c r="G16" s="2088"/>
      <c r="H16" s="408"/>
      <c r="I16" s="2088"/>
      <c r="J16" s="406"/>
      <c r="K16" s="626"/>
      <c r="L16" s="2949"/>
      <c r="M16" s="2943"/>
      <c r="N16" s="2943"/>
      <c r="O16" s="3001"/>
      <c r="P16" s="3324"/>
      <c r="Q16" s="1534"/>
      <c r="R16" s="712"/>
      <c r="S16" s="713"/>
      <c r="T16" s="712"/>
      <c r="U16" s="713"/>
      <c r="V16" s="712"/>
      <c r="W16" s="713"/>
      <c r="X16" s="1537"/>
      <c r="Y16" s="3324"/>
      <c r="Z16" s="1538"/>
      <c r="AA16" s="1535">
        <v>1</v>
      </c>
      <c r="AB16" s="1535">
        <v>1</v>
      </c>
      <c r="AC16" s="1535">
        <v>1</v>
      </c>
    </row>
    <row r="17" spans="1:29" ht="15">
      <c r="A17" s="386"/>
      <c r="B17" s="585" t="s">
        <v>2530</v>
      </c>
      <c r="C17" s="2084">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49"/>
      <c r="M17" s="2943"/>
      <c r="N17" s="2943"/>
      <c r="O17" s="3001"/>
      <c r="P17" s="3324"/>
      <c r="Q17" s="1534" t="str">
        <f>B17</f>
        <v>交通便捷度</v>
      </c>
      <c r="R17" s="712" t="s">
        <v>17</v>
      </c>
      <c r="S17" s="713">
        <f>F17</f>
        <v>100</v>
      </c>
      <c r="T17" s="712" t="s">
        <v>17</v>
      </c>
      <c r="U17" s="713">
        <f>H17</f>
        <v>100</v>
      </c>
      <c r="V17" s="712" t="s">
        <v>17</v>
      </c>
      <c r="W17" s="713">
        <f>J17</f>
        <v>100</v>
      </c>
      <c r="X17" s="1537"/>
      <c r="Y17" s="3324"/>
      <c r="Z17" s="1538" t="str">
        <f>Q17</f>
        <v>交通便捷度</v>
      </c>
      <c r="AA17" s="1535">
        <f t="shared" si="3"/>
        <v>1</v>
      </c>
      <c r="AB17" s="1535">
        <f t="shared" si="4"/>
        <v>1</v>
      </c>
      <c r="AC17" s="1535">
        <f t="shared" si="5"/>
        <v>1</v>
      </c>
    </row>
    <row r="18" spans="1:29" ht="15">
      <c r="A18" s="386"/>
      <c r="B18" s="586"/>
      <c r="C18" s="405"/>
      <c r="D18" s="406"/>
      <c r="E18" s="2082"/>
      <c r="F18" s="406"/>
      <c r="G18" s="2082"/>
      <c r="H18" s="406"/>
      <c r="I18" s="2081"/>
      <c r="J18" s="406"/>
      <c r="K18" s="626"/>
      <c r="L18" s="2949"/>
      <c r="M18" s="2943"/>
      <c r="N18" s="2943"/>
      <c r="O18" s="3001"/>
      <c r="P18" s="3324"/>
      <c r="Q18" s="1534"/>
      <c r="R18" s="712"/>
      <c r="S18" s="713"/>
      <c r="T18" s="712"/>
      <c r="U18" s="713"/>
      <c r="V18" s="712"/>
      <c r="W18" s="713"/>
      <c r="X18" s="1537"/>
      <c r="Y18" s="3324"/>
      <c r="Z18" s="1538"/>
      <c r="AA18" s="1535">
        <v>1</v>
      </c>
      <c r="AB18" s="1535">
        <v>1</v>
      </c>
      <c r="AC18" s="1535">
        <v>1</v>
      </c>
    </row>
    <row r="19" spans="1:29" ht="15">
      <c r="A19" s="386"/>
      <c r="B19" s="585"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49"/>
      <c r="M19" s="2943"/>
      <c r="N19" s="2943"/>
      <c r="O19" s="3001"/>
      <c r="P19" s="3324"/>
      <c r="Q19" s="1534" t="str">
        <f t="shared" ref="Q19:Q33" si="8">B19</f>
        <v>区域土地利用方向</v>
      </c>
      <c r="R19" s="712" t="s">
        <v>17</v>
      </c>
      <c r="S19" s="713">
        <f>F19</f>
        <v>100</v>
      </c>
      <c r="T19" s="712" t="s">
        <v>17</v>
      </c>
      <c r="U19" s="713">
        <f>H19</f>
        <v>100</v>
      </c>
      <c r="V19" s="712" t="s">
        <v>17</v>
      </c>
      <c r="W19" s="713">
        <f>J19</f>
        <v>100</v>
      </c>
      <c r="X19" s="1537"/>
      <c r="Y19" s="3324"/>
      <c r="Z19" s="1538" t="str">
        <f>Q19</f>
        <v>区域土地利用方向</v>
      </c>
      <c r="AA19" s="1535">
        <f t="shared" si="3"/>
        <v>1</v>
      </c>
      <c r="AB19" s="1535">
        <f t="shared" si="4"/>
        <v>1</v>
      </c>
      <c r="AC19" s="1535">
        <f t="shared" si="5"/>
        <v>1</v>
      </c>
    </row>
    <row r="20" spans="1:29" ht="15">
      <c r="A20" s="363"/>
      <c r="B20" s="586"/>
      <c r="C20" s="405"/>
      <c r="D20" s="406"/>
      <c r="E20" s="2082"/>
      <c r="F20" s="406"/>
      <c r="G20" s="2082"/>
      <c r="H20" s="406"/>
      <c r="I20" s="2082"/>
      <c r="J20" s="406"/>
      <c r="K20" s="749"/>
      <c r="L20" s="2949"/>
      <c r="M20" s="2943"/>
      <c r="N20" s="2943"/>
      <c r="O20" s="3001"/>
      <c r="P20" s="3324"/>
      <c r="Q20" s="1534"/>
      <c r="R20" s="712"/>
      <c r="S20" s="713"/>
      <c r="T20" s="712"/>
      <c r="U20" s="713"/>
      <c r="V20" s="712"/>
      <c r="W20" s="713"/>
      <c r="X20" s="1537"/>
      <c r="Y20" s="3324"/>
      <c r="Z20" s="1538"/>
      <c r="AA20" s="1535"/>
      <c r="AB20" s="1535"/>
      <c r="AC20" s="1535"/>
    </row>
    <row r="21" spans="1:29" ht="15">
      <c r="A21" s="363"/>
      <c r="B21" s="585" t="s">
        <v>2620</v>
      </c>
      <c r="C21" s="2084">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49"/>
      <c r="M21" s="2943"/>
      <c r="N21" s="2943"/>
      <c r="O21" s="3001"/>
      <c r="P21" s="3324"/>
      <c r="Q21" s="1534" t="str">
        <f t="shared" si="8"/>
        <v>环境状况</v>
      </c>
      <c r="R21" s="712" t="s">
        <v>17</v>
      </c>
      <c r="S21" s="713">
        <f>F21</f>
        <v>100</v>
      </c>
      <c r="T21" s="712" t="s">
        <v>17</v>
      </c>
      <c r="U21" s="713">
        <f>H21</f>
        <v>100</v>
      </c>
      <c r="V21" s="712" t="s">
        <v>17</v>
      </c>
      <c r="W21" s="713">
        <f>J21</f>
        <v>100</v>
      </c>
      <c r="X21" s="1537"/>
      <c r="Y21" s="3324"/>
      <c r="Z21" s="1538" t="str">
        <f>Q21</f>
        <v>环境状况</v>
      </c>
      <c r="AA21" s="1535">
        <f t="shared" si="3"/>
        <v>1</v>
      </c>
      <c r="AB21" s="1535">
        <f t="shared" si="4"/>
        <v>1</v>
      </c>
      <c r="AC21" s="1535">
        <f t="shared" si="5"/>
        <v>1</v>
      </c>
    </row>
    <row r="22" spans="1:29" ht="15">
      <c r="A22" s="363"/>
      <c r="B22" s="586"/>
      <c r="C22" s="405"/>
      <c r="D22" s="406"/>
      <c r="E22" s="2088"/>
      <c r="F22" s="406"/>
      <c r="G22" s="2088"/>
      <c r="H22" s="406"/>
      <c r="I22" s="405"/>
      <c r="J22" s="406"/>
      <c r="K22" s="626"/>
      <c r="L22" s="2949"/>
      <c r="M22" s="2943"/>
      <c r="N22" s="2943"/>
      <c r="O22" s="3001"/>
      <c r="P22" s="3324"/>
      <c r="Q22" s="1534"/>
      <c r="R22" s="712"/>
      <c r="S22" s="713"/>
      <c r="T22" s="712"/>
      <c r="U22" s="713"/>
      <c r="V22" s="712"/>
      <c r="W22" s="713"/>
      <c r="X22" s="1537"/>
      <c r="Y22" s="3324"/>
      <c r="Z22" s="1538"/>
      <c r="AA22" s="1535">
        <v>1</v>
      </c>
      <c r="AB22" s="1535">
        <v>1</v>
      </c>
      <c r="AC22" s="1535">
        <v>1</v>
      </c>
    </row>
    <row r="23" spans="1:29" s="113" customFormat="1" ht="15">
      <c r="A23" s="603"/>
      <c r="B23" s="587" t="s">
        <v>2475</v>
      </c>
      <c r="C23" s="2084">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44"/>
      <c r="M23" s="2945"/>
      <c r="N23" s="2945"/>
      <c r="O23" s="2999"/>
      <c r="P23" s="3324"/>
      <c r="Q23" s="1525" t="str">
        <f t="shared" si="8"/>
        <v>公共配套设施</v>
      </c>
      <c r="R23" s="708" t="s">
        <v>17</v>
      </c>
      <c r="S23" s="709">
        <f>F23</f>
        <v>100</v>
      </c>
      <c r="T23" s="708" t="s">
        <v>17</v>
      </c>
      <c r="U23" s="709">
        <f>H23</f>
        <v>100</v>
      </c>
      <c r="V23" s="708" t="s">
        <v>17</v>
      </c>
      <c r="W23" s="709">
        <f>J23</f>
        <v>100</v>
      </c>
      <c r="X23" s="710"/>
      <c r="Y23" s="3324"/>
      <c r="Z23" s="55" t="str">
        <f>Q23</f>
        <v>公共配套设施</v>
      </c>
      <c r="AA23" s="1535">
        <f>D23/F23</f>
        <v>1</v>
      </c>
      <c r="AB23" s="1535">
        <f>D23/H23</f>
        <v>1</v>
      </c>
      <c r="AC23" s="1535">
        <f>D23/J23</f>
        <v>1</v>
      </c>
    </row>
    <row r="24" spans="1:29" s="113" customFormat="1" ht="15">
      <c r="A24" s="603"/>
      <c r="B24" s="586"/>
      <c r="C24" s="2162"/>
      <c r="D24" s="406"/>
      <c r="E24" s="2088"/>
      <c r="F24" s="406"/>
      <c r="G24" s="2088"/>
      <c r="H24" s="406"/>
      <c r="I24" s="405"/>
      <c r="J24" s="406"/>
      <c r="K24" s="626"/>
      <c r="L24" s="2944"/>
      <c r="M24" s="2945"/>
      <c r="N24" s="2945"/>
      <c r="O24" s="2999"/>
      <c r="P24" s="3324"/>
      <c r="Q24" s="1525"/>
      <c r="R24" s="708"/>
      <c r="S24" s="709"/>
      <c r="T24" s="708"/>
      <c r="U24" s="709"/>
      <c r="V24" s="708"/>
      <c r="W24" s="709"/>
      <c r="X24" s="710"/>
      <c r="Y24" s="3324"/>
      <c r="Z24" s="55"/>
      <c r="AA24" s="711">
        <v>1</v>
      </c>
      <c r="AB24" s="711">
        <v>1</v>
      </c>
      <c r="AC24" s="711">
        <v>1</v>
      </c>
    </row>
    <row r="25" spans="1:29" s="113" customFormat="1" ht="15">
      <c r="A25" s="603"/>
      <c r="B25" s="587" t="s">
        <v>2476</v>
      </c>
      <c r="C25" s="2084">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44"/>
      <c r="M25" s="2945"/>
      <c r="N25" s="2945"/>
      <c r="O25" s="2999"/>
      <c r="P25" s="3324"/>
      <c r="Q25" s="1525" t="str">
        <f t="shared" ref="Q25" si="9">B25</f>
        <v>基础设施水平</v>
      </c>
      <c r="R25" s="708" t="s">
        <v>17</v>
      </c>
      <c r="S25" s="709">
        <f>F25</f>
        <v>100</v>
      </c>
      <c r="T25" s="708" t="s">
        <v>17</v>
      </c>
      <c r="U25" s="709">
        <f>H25</f>
        <v>100</v>
      </c>
      <c r="V25" s="708" t="s">
        <v>17</v>
      </c>
      <c r="W25" s="709">
        <f>J25</f>
        <v>100</v>
      </c>
      <c r="X25" s="710"/>
      <c r="Y25" s="3324"/>
      <c r="Z25" s="55" t="str">
        <f>Q25</f>
        <v>基础设施水平</v>
      </c>
      <c r="AA25" s="1535">
        <f>D25/F25</f>
        <v>1</v>
      </c>
      <c r="AB25" s="1535">
        <f>D25/H25</f>
        <v>1</v>
      </c>
      <c r="AC25" s="1535">
        <f>D25/J25</f>
        <v>1</v>
      </c>
    </row>
    <row r="26" spans="1:29" s="113" customFormat="1" ht="15">
      <c r="A26" s="603"/>
      <c r="B26" s="586"/>
      <c r="C26" s="2162"/>
      <c r="D26" s="406"/>
      <c r="E26" s="2163"/>
      <c r="F26" s="406"/>
      <c r="G26" s="2163"/>
      <c r="H26" s="406"/>
      <c r="I26" s="2163"/>
      <c r="J26" s="406"/>
      <c r="K26" s="626"/>
      <c r="L26" s="2944"/>
      <c r="M26" s="2945"/>
      <c r="N26" s="2945"/>
      <c r="O26" s="2999"/>
      <c r="P26" s="3324"/>
      <c r="Q26" s="1525"/>
      <c r="R26" s="708"/>
      <c r="S26" s="709"/>
      <c r="T26" s="708"/>
      <c r="U26" s="709"/>
      <c r="V26" s="708"/>
      <c r="W26" s="709"/>
      <c r="X26" s="710"/>
      <c r="Y26" s="3324"/>
      <c r="Z26" s="55"/>
      <c r="AA26" s="711">
        <v>1</v>
      </c>
      <c r="AB26" s="711">
        <v>1</v>
      </c>
      <c r="AC26" s="711">
        <v>1</v>
      </c>
    </row>
    <row r="27" spans="1:29" ht="15">
      <c r="A27" s="386"/>
      <c r="B27" s="586" t="s">
        <v>2477</v>
      </c>
      <c r="C27" s="572"/>
      <c r="D27" s="393">
        <v>100</v>
      </c>
      <c r="E27" s="588"/>
      <c r="F27" s="393">
        <f>SUMIF(95:95,E27,96:96)-SUMIF(95:95,C27,96:96)+100</f>
        <v>100</v>
      </c>
      <c r="G27" s="588"/>
      <c r="H27" s="393">
        <f>SUMIF(95:95,G27,96:96)-SUMIF(95:95,C27,96:96)+100</f>
        <v>100</v>
      </c>
      <c r="I27" s="588"/>
      <c r="J27" s="393">
        <f>SUMIF(95:95,I27,96:96)-SUMIF(95:95,C27,96:96)+100</f>
        <v>100</v>
      </c>
      <c r="K27" s="627"/>
      <c r="L27" s="2949"/>
      <c r="M27" s="2943"/>
      <c r="N27" s="2943"/>
      <c r="O27" s="3001"/>
      <c r="P27" s="3324"/>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24"/>
      <c r="Z27" s="1538" t="str">
        <f t="shared" ref="Z27:Z40" si="13">Q27</f>
        <v>临街状况</v>
      </c>
      <c r="AA27" s="1535">
        <f t="shared" si="3"/>
        <v>1</v>
      </c>
      <c r="AB27" s="1535">
        <f t="shared" si="4"/>
        <v>1</v>
      </c>
      <c r="AC27" s="1535">
        <f t="shared" si="5"/>
        <v>1</v>
      </c>
    </row>
    <row r="28" spans="1:29" ht="27">
      <c r="A28" s="386"/>
      <c r="B28" s="587"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49"/>
      <c r="M28" s="2943"/>
      <c r="N28" s="2943"/>
      <c r="O28" s="3001"/>
      <c r="P28" s="3324"/>
      <c r="Q28" s="1534" t="str">
        <f t="shared" si="8"/>
        <v>毗邻道路的类型与等级</v>
      </c>
      <c r="R28" s="712" t="s">
        <v>17</v>
      </c>
      <c r="S28" s="713">
        <f t="shared" si="10"/>
        <v>100</v>
      </c>
      <c r="T28" s="712" t="s">
        <v>17</v>
      </c>
      <c r="U28" s="713">
        <f t="shared" si="11"/>
        <v>100</v>
      </c>
      <c r="V28" s="712" t="s">
        <v>17</v>
      </c>
      <c r="W28" s="713">
        <f t="shared" si="12"/>
        <v>100</v>
      </c>
      <c r="X28" s="1537"/>
      <c r="Y28" s="3324"/>
      <c r="Z28" s="1538" t="str">
        <f t="shared" si="13"/>
        <v>毗邻道路的类型与等级</v>
      </c>
      <c r="AA28" s="1535">
        <f t="shared" si="3"/>
        <v>1</v>
      </c>
      <c r="AB28" s="1535">
        <f t="shared" si="4"/>
        <v>1</v>
      </c>
      <c r="AC28" s="1535">
        <f t="shared" si="5"/>
        <v>1</v>
      </c>
    </row>
    <row r="29" spans="1:29" ht="15">
      <c r="A29" s="386"/>
      <c r="B29" s="586"/>
      <c r="C29" s="405"/>
      <c r="D29" s="406"/>
      <c r="E29" s="2088"/>
      <c r="F29" s="406"/>
      <c r="G29" s="2088"/>
      <c r="H29" s="406"/>
      <c r="I29" s="2088"/>
      <c r="J29" s="406"/>
      <c r="K29" s="569"/>
      <c r="L29" s="2949"/>
      <c r="M29" s="2943"/>
      <c r="N29" s="2943"/>
      <c r="O29" s="3001"/>
      <c r="P29" s="3324"/>
      <c r="Q29" s="1534"/>
      <c r="R29" s="712"/>
      <c r="S29" s="713"/>
      <c r="T29" s="712"/>
      <c r="U29" s="713"/>
      <c r="V29" s="712"/>
      <c r="W29" s="713"/>
      <c r="X29" s="1537"/>
      <c r="Y29" s="3324"/>
      <c r="Z29" s="1538"/>
      <c r="AA29" s="1535">
        <v>1</v>
      </c>
      <c r="AB29" s="1535">
        <v>1</v>
      </c>
      <c r="AC29" s="1535">
        <v>1</v>
      </c>
    </row>
    <row r="30" spans="1:29" ht="15">
      <c r="A30" s="386"/>
      <c r="B30" s="608" t="s">
        <v>2571</v>
      </c>
      <c r="C30" s="1296">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49"/>
      <c r="M30" s="2943"/>
      <c r="N30" s="2943"/>
      <c r="O30" s="3001"/>
      <c r="P30" s="3324"/>
      <c r="Q30" s="1534" t="str">
        <f t="shared" si="8"/>
        <v>土地级别</v>
      </c>
      <c r="R30" s="712" t="s">
        <v>17</v>
      </c>
      <c r="S30" s="713">
        <f t="shared" si="10"/>
        <v>100</v>
      </c>
      <c r="T30" s="712" t="s">
        <v>17</v>
      </c>
      <c r="U30" s="713">
        <f t="shared" si="11"/>
        <v>100</v>
      </c>
      <c r="V30" s="712" t="s">
        <v>17</v>
      </c>
      <c r="W30" s="713">
        <f t="shared" si="12"/>
        <v>100</v>
      </c>
      <c r="X30" s="1537"/>
      <c r="Y30" s="3324"/>
      <c r="Z30" s="1538" t="str">
        <f t="shared" si="13"/>
        <v>土地级别</v>
      </c>
      <c r="AA30" s="1535">
        <f t="shared" si="3"/>
        <v>1</v>
      </c>
      <c r="AB30" s="1535">
        <f t="shared" si="4"/>
        <v>1</v>
      </c>
      <c r="AC30" s="1535">
        <f t="shared" si="5"/>
        <v>1</v>
      </c>
    </row>
    <row r="31" spans="1:29" ht="15">
      <c r="A31" s="363"/>
      <c r="B31" s="2150">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324"/>
      <c r="Q31" s="1534">
        <f t="shared" si="8"/>
        <v>111</v>
      </c>
      <c r="R31" s="712" t="s">
        <v>17</v>
      </c>
      <c r="S31" s="713">
        <f t="shared" si="10"/>
        <v>100</v>
      </c>
      <c r="T31" s="712" t="s">
        <v>17</v>
      </c>
      <c r="U31" s="713">
        <f t="shared" si="11"/>
        <v>100</v>
      </c>
      <c r="V31" s="712" t="s">
        <v>17</v>
      </c>
      <c r="W31" s="713">
        <f t="shared" si="12"/>
        <v>100</v>
      </c>
      <c r="X31" s="1537"/>
      <c r="Y31" s="3324"/>
      <c r="Z31" s="1538">
        <f t="shared" si="13"/>
        <v>111</v>
      </c>
      <c r="AA31" s="1535">
        <f t="shared" si="3"/>
        <v>1</v>
      </c>
      <c r="AB31" s="1535">
        <f t="shared" si="4"/>
        <v>1</v>
      </c>
      <c r="AC31" s="1535">
        <f t="shared" si="5"/>
        <v>1</v>
      </c>
    </row>
    <row r="32" spans="1:29" ht="15">
      <c r="A32" s="629"/>
      <c r="B32" s="2176">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49"/>
      <c r="M32" s="2943"/>
      <c r="N32" s="2943"/>
      <c r="O32" s="3001"/>
      <c r="P32" s="3349" t="s">
        <v>2386</v>
      </c>
      <c r="Q32" s="1534">
        <f t="shared" si="8"/>
        <v>111</v>
      </c>
      <c r="R32" s="712" t="s">
        <v>17</v>
      </c>
      <c r="S32" s="713">
        <f t="shared" si="10"/>
        <v>100</v>
      </c>
      <c r="T32" s="712" t="s">
        <v>17</v>
      </c>
      <c r="U32" s="713">
        <f t="shared" si="11"/>
        <v>100</v>
      </c>
      <c r="V32" s="712" t="s">
        <v>17</v>
      </c>
      <c r="W32" s="713">
        <f t="shared" si="12"/>
        <v>100</v>
      </c>
      <c r="X32" s="1537"/>
      <c r="Y32" s="3328" t="s">
        <v>2386</v>
      </c>
      <c r="Z32" s="1538">
        <f t="shared" si="13"/>
        <v>111</v>
      </c>
      <c r="AA32" s="1535">
        <f t="shared" si="3"/>
        <v>1</v>
      </c>
      <c r="AB32" s="1535">
        <f t="shared" si="4"/>
        <v>1</v>
      </c>
      <c r="AC32" s="1535">
        <f t="shared" si="5"/>
        <v>1</v>
      </c>
    </row>
    <row r="33" spans="1:31" s="429" customFormat="1" ht="15.75" thickBot="1">
      <c r="A33" s="630"/>
      <c r="B33" s="2177">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48"/>
      <c r="M33" s="2950"/>
      <c r="N33" s="2950"/>
      <c r="O33" s="3002"/>
      <c r="P33" s="3328"/>
      <c r="Q33" s="1534">
        <f t="shared" si="8"/>
        <v>111</v>
      </c>
      <c r="R33" s="715" t="s">
        <v>17</v>
      </c>
      <c r="S33" s="716">
        <f t="shared" si="10"/>
        <v>100</v>
      </c>
      <c r="T33" s="715" t="s">
        <v>17</v>
      </c>
      <c r="U33" s="716">
        <f t="shared" si="11"/>
        <v>100</v>
      </c>
      <c r="V33" s="715" t="s">
        <v>17</v>
      </c>
      <c r="W33" s="716">
        <f t="shared" si="12"/>
        <v>100</v>
      </c>
      <c r="X33" s="717"/>
      <c r="Y33" s="3328"/>
      <c r="Z33" s="718">
        <f t="shared" si="13"/>
        <v>111</v>
      </c>
      <c r="AA33" s="1535">
        <f t="shared" si="3"/>
        <v>1</v>
      </c>
      <c r="AB33" s="1535">
        <f t="shared" si="4"/>
        <v>1</v>
      </c>
      <c r="AC33" s="1535">
        <f t="shared" si="5"/>
        <v>1</v>
      </c>
    </row>
    <row r="34" spans="1:31" ht="15">
      <c r="A34" s="398" t="s">
        <v>2384</v>
      </c>
      <c r="B34" s="414" t="s">
        <v>2572</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49"/>
      <c r="M34" s="2943"/>
      <c r="N34" s="2943"/>
      <c r="O34" s="3001"/>
      <c r="P34" s="3328"/>
      <c r="Q34" s="1534" t="str">
        <f>B34</f>
        <v>宗地面积</v>
      </c>
      <c r="R34" s="712" t="s">
        <v>17</v>
      </c>
      <c r="S34" s="713" t="e">
        <f t="shared" si="10"/>
        <v>#N/A</v>
      </c>
      <c r="T34" s="712" t="s">
        <v>17</v>
      </c>
      <c r="U34" s="713" t="e">
        <f t="shared" si="11"/>
        <v>#N/A</v>
      </c>
      <c r="V34" s="712" t="s">
        <v>17</v>
      </c>
      <c r="W34" s="713" t="e">
        <f t="shared" si="12"/>
        <v>#N/A</v>
      </c>
      <c r="X34" s="1537"/>
      <c r="Y34" s="3328"/>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9"/>
      <c r="M35" s="2943"/>
      <c r="N35" s="2943"/>
      <c r="O35" s="3001"/>
      <c r="P35" s="3328"/>
      <c r="Q35" s="1534" t="str">
        <f t="shared" ref="Q35:Q40" si="14">B35</f>
        <v>宗地形状</v>
      </c>
      <c r="R35" s="712" t="s">
        <v>17</v>
      </c>
      <c r="S35" s="713">
        <f t="shared" si="10"/>
        <v>100</v>
      </c>
      <c r="T35" s="712" t="s">
        <v>17</v>
      </c>
      <c r="U35" s="713">
        <f t="shared" si="11"/>
        <v>100</v>
      </c>
      <c r="V35" s="712" t="s">
        <v>17</v>
      </c>
      <c r="W35" s="713">
        <f t="shared" si="12"/>
        <v>100</v>
      </c>
      <c r="X35" s="1537"/>
      <c r="Y35" s="3328"/>
      <c r="Z35" s="1538" t="str">
        <f t="shared" si="13"/>
        <v>宗地形状</v>
      </c>
      <c r="AA35" s="1535">
        <f t="shared" si="3"/>
        <v>1</v>
      </c>
      <c r="AB35" s="1535">
        <f t="shared" si="4"/>
        <v>1</v>
      </c>
      <c r="AC35" s="1535">
        <f t="shared" si="5"/>
        <v>1</v>
      </c>
    </row>
    <row r="36" spans="1:31" s="113"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328"/>
      <c r="Q36" s="1534" t="str">
        <f t="shared" si="14"/>
        <v>宗地开发程度</v>
      </c>
      <c r="R36" s="708" t="s">
        <v>17</v>
      </c>
      <c r="S36" s="709">
        <f t="shared" si="10"/>
        <v>100</v>
      </c>
      <c r="T36" s="708" t="s">
        <v>17</v>
      </c>
      <c r="U36" s="709">
        <f t="shared" si="11"/>
        <v>100</v>
      </c>
      <c r="V36" s="708" t="s">
        <v>17</v>
      </c>
      <c r="W36" s="709">
        <f t="shared" si="12"/>
        <v>100</v>
      </c>
      <c r="X36" s="710"/>
      <c r="Y36" s="3328"/>
      <c r="Z36" s="55" t="str">
        <f t="shared" si="13"/>
        <v>宗地开发程度</v>
      </c>
      <c r="AA36" s="711">
        <f t="shared" si="3"/>
        <v>1</v>
      </c>
      <c r="AB36" s="711">
        <f t="shared" si="4"/>
        <v>1</v>
      </c>
      <c r="AC36" s="711">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9"/>
      <c r="M37" s="2943"/>
      <c r="N37" s="2943"/>
      <c r="O37" s="3001"/>
      <c r="P37" s="3328" t="s">
        <v>2386</v>
      </c>
      <c r="Q37" s="1534" t="str">
        <f t="shared" si="14"/>
        <v>工程地质条件</v>
      </c>
      <c r="R37" s="712" t="s">
        <v>17</v>
      </c>
      <c r="S37" s="713">
        <f t="shared" si="10"/>
        <v>100</v>
      </c>
      <c r="T37" s="712" t="s">
        <v>17</v>
      </c>
      <c r="U37" s="713">
        <f t="shared" si="11"/>
        <v>100</v>
      </c>
      <c r="V37" s="712" t="s">
        <v>17</v>
      </c>
      <c r="W37" s="713">
        <f t="shared" si="12"/>
        <v>100</v>
      </c>
      <c r="X37" s="1537"/>
      <c r="Y37" s="3328" t="s">
        <v>2386</v>
      </c>
      <c r="Z37" s="1538" t="str">
        <f t="shared" si="13"/>
        <v>工程地质条件</v>
      </c>
      <c r="AA37" s="1535">
        <f t="shared" si="3"/>
        <v>1</v>
      </c>
      <c r="AB37" s="1535">
        <f t="shared" si="4"/>
        <v>1</v>
      </c>
      <c r="AC37" s="1535">
        <f t="shared" si="5"/>
        <v>1</v>
      </c>
    </row>
    <row r="38" spans="1:31" ht="15">
      <c r="A38" s="430"/>
      <c r="B38" s="1294">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49"/>
      <c r="M38" s="2943"/>
      <c r="N38" s="2943"/>
      <c r="O38" s="3001"/>
      <c r="P38" s="3328"/>
      <c r="Q38" s="1534">
        <f t="shared" si="14"/>
        <v>111</v>
      </c>
      <c r="R38" s="712" t="s">
        <v>17</v>
      </c>
      <c r="S38" s="713">
        <f t="shared" si="10"/>
        <v>100</v>
      </c>
      <c r="T38" s="712" t="s">
        <v>17</v>
      </c>
      <c r="U38" s="713">
        <f t="shared" si="11"/>
        <v>100</v>
      </c>
      <c r="V38" s="712" t="s">
        <v>17</v>
      </c>
      <c r="W38" s="713">
        <f t="shared" si="12"/>
        <v>100</v>
      </c>
      <c r="X38" s="1537"/>
      <c r="Y38" s="3328"/>
      <c r="Z38" s="1538">
        <f t="shared" si="13"/>
        <v>111</v>
      </c>
      <c r="AA38" s="1535">
        <f t="shared" si="3"/>
        <v>1</v>
      </c>
      <c r="AB38" s="1535">
        <f t="shared" si="4"/>
        <v>1</v>
      </c>
      <c r="AC38" s="1535">
        <f t="shared" si="5"/>
        <v>1</v>
      </c>
    </row>
    <row r="39" spans="1:31" ht="15">
      <c r="A39" s="430"/>
      <c r="B39" s="1294">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49"/>
      <c r="M39" s="2943"/>
      <c r="N39" s="2943"/>
      <c r="O39" s="3001"/>
      <c r="P39" s="3328"/>
      <c r="Q39" s="1534">
        <f t="shared" si="14"/>
        <v>111</v>
      </c>
      <c r="R39" s="712" t="s">
        <v>17</v>
      </c>
      <c r="S39" s="713">
        <f t="shared" si="10"/>
        <v>100</v>
      </c>
      <c r="T39" s="712" t="s">
        <v>17</v>
      </c>
      <c r="U39" s="713">
        <f t="shared" si="11"/>
        <v>100</v>
      </c>
      <c r="V39" s="712" t="s">
        <v>17</v>
      </c>
      <c r="W39" s="713">
        <f t="shared" si="12"/>
        <v>100</v>
      </c>
      <c r="X39" s="1537"/>
      <c r="Y39" s="3328"/>
      <c r="Z39" s="1538">
        <f t="shared" si="13"/>
        <v>111</v>
      </c>
      <c r="AA39" s="1535">
        <f t="shared" si="3"/>
        <v>1</v>
      </c>
      <c r="AB39" s="1535">
        <f t="shared" si="4"/>
        <v>1</v>
      </c>
      <c r="AC39" s="1535">
        <f t="shared" si="5"/>
        <v>1</v>
      </c>
    </row>
    <row r="40" spans="1:31" s="429" customFormat="1" ht="15.75" thickBot="1">
      <c r="A40" s="426"/>
      <c r="B40" s="1294">
        <v>111</v>
      </c>
      <c r="C40" s="2165"/>
      <c r="D40" s="132">
        <v>100</v>
      </c>
      <c r="E40" s="628"/>
      <c r="F40" s="396">
        <f>SUMIF(120:120,E40,121:121)-SUMIF(120:120,C40,121:121)+100</f>
        <v>100</v>
      </c>
      <c r="G40" s="628"/>
      <c r="H40" s="396">
        <f>SUMIF(120:120,G40,121:121)-SUMIF(120:120,C40,121:121)+100</f>
        <v>100</v>
      </c>
      <c r="I40" s="505"/>
      <c r="J40" s="396">
        <f>SUMIF(120:120,I40,121:121)-SUMIF(120:120,C40,121:121)+100</f>
        <v>100</v>
      </c>
      <c r="K40" s="635"/>
      <c r="L40" s="2948"/>
      <c r="M40" s="2950"/>
      <c r="N40" s="2950"/>
      <c r="O40" s="3002"/>
      <c r="P40" s="3328"/>
      <c r="Q40" s="1534">
        <f t="shared" si="14"/>
        <v>111</v>
      </c>
      <c r="R40" s="715" t="s">
        <v>17</v>
      </c>
      <c r="S40" s="716">
        <f t="shared" si="10"/>
        <v>100</v>
      </c>
      <c r="T40" s="715" t="s">
        <v>17</v>
      </c>
      <c r="U40" s="716">
        <f t="shared" si="11"/>
        <v>100</v>
      </c>
      <c r="V40" s="715" t="s">
        <v>17</v>
      </c>
      <c r="W40" s="716">
        <f t="shared" si="12"/>
        <v>100</v>
      </c>
      <c r="X40" s="717"/>
      <c r="Y40" s="3328"/>
      <c r="Z40" s="718">
        <f t="shared" si="13"/>
        <v>111</v>
      </c>
      <c r="AA40" s="1535">
        <f t="shared" si="3"/>
        <v>1</v>
      </c>
      <c r="AB40" s="1535">
        <f t="shared" si="4"/>
        <v>1</v>
      </c>
      <c r="AC40" s="1535">
        <f t="shared" si="5"/>
        <v>1</v>
      </c>
    </row>
    <row r="41" spans="1:31" ht="15">
      <c r="A41" s="437" t="s">
        <v>2541</v>
      </c>
      <c r="B41" s="2166" t="s">
        <v>2621</v>
      </c>
      <c r="C41" s="636" t="s">
        <v>1</v>
      </c>
      <c r="D41" s="439"/>
      <c r="E41" s="440"/>
      <c r="F41" s="441"/>
      <c r="G41" s="442"/>
      <c r="H41" s="443"/>
      <c r="I41" s="440"/>
      <c r="J41" s="443"/>
      <c r="K41" s="721"/>
      <c r="L41" s="2951"/>
      <c r="M41" s="2943"/>
      <c r="N41" s="2943"/>
      <c r="O41" s="2952"/>
      <c r="P41" s="3321" t="str">
        <f>A41</f>
        <v>成交单价</v>
      </c>
      <c r="Q41" s="3321"/>
      <c r="R41" s="3316">
        <f>E41</f>
        <v>0</v>
      </c>
      <c r="S41" s="3316"/>
      <c r="T41" s="3316">
        <f>G41</f>
        <v>0</v>
      </c>
      <c r="U41" s="3316"/>
      <c r="V41" s="3316">
        <f>I41</f>
        <v>0</v>
      </c>
      <c r="W41" s="3316"/>
      <c r="X41" s="697"/>
      <c r="Y41" s="719"/>
      <c r="Z41" s="697"/>
      <c r="AA41" s="697"/>
      <c r="AB41" s="697"/>
      <c r="AC41" s="697"/>
    </row>
    <row r="42" spans="1:31" ht="15.75" thickBot="1">
      <c r="A42" s="444" t="s">
        <v>2490</v>
      </c>
      <c r="B42" s="637"/>
      <c r="C42" s="447" t="e">
        <f>R43</f>
        <v>#DIV/0!</v>
      </c>
      <c r="D42" s="2536" t="s">
        <v>2880</v>
      </c>
      <c r="E42" s="447" t="e">
        <f>R42</f>
        <v>#DIV/0!</v>
      </c>
      <c r="F42" s="2537"/>
      <c r="G42" s="446" t="e">
        <f>T42</f>
        <v>#DIV/0!</v>
      </c>
      <c r="H42" s="2537"/>
      <c r="I42" s="447" t="e">
        <f>V42</f>
        <v>#DIV/0!</v>
      </c>
      <c r="J42" s="2537"/>
      <c r="K42" s="2539">
        <f>F42+H42+J42</f>
        <v>0</v>
      </c>
      <c r="L42" s="2951"/>
      <c r="M42" s="2943"/>
      <c r="N42" s="2943"/>
      <c r="O42" s="2952"/>
      <c r="P42" s="3321" t="str">
        <f>A42</f>
        <v>比较价值（元/平方米）</v>
      </c>
      <c r="Q42" s="3321"/>
      <c r="R42" s="3351" t="e">
        <f>ROUND(PRODUCT(R41,AA7:AA40),0)</f>
        <v>#DIV/0!</v>
      </c>
      <c r="S42" s="3351"/>
      <c r="T42" s="3351" t="e">
        <f>ROUND(PRODUCT(T41,AB7:AB40),0)</f>
        <v>#DIV/0!</v>
      </c>
      <c r="U42" s="3351"/>
      <c r="V42" s="3351" t="e">
        <f>ROUND(PRODUCT(V41,AC7:AC40),0)</f>
        <v>#DIV/0!</v>
      </c>
      <c r="W42" s="3351"/>
      <c r="X42" s="697"/>
      <c r="Y42" s="697"/>
      <c r="Z42" s="697"/>
      <c r="AA42" s="697"/>
      <c r="AB42" s="697"/>
      <c r="AC42" s="697"/>
    </row>
    <row r="43" spans="1:31" ht="15.75" thickBot="1">
      <c r="A43" s="448" t="s">
        <v>2491</v>
      </c>
      <c r="B43" s="449"/>
      <c r="C43" s="450" t="e">
        <f>R43</f>
        <v>#DIV/0!</v>
      </c>
      <c r="D43" s="450"/>
      <c r="E43" s="450"/>
      <c r="F43" s="450"/>
      <c r="G43" s="450"/>
      <c r="H43" s="450"/>
      <c r="I43" s="450"/>
      <c r="J43" s="450"/>
      <c r="K43" s="722"/>
      <c r="L43" s="2951"/>
      <c r="M43" s="2943"/>
      <c r="N43" s="2943"/>
      <c r="O43" s="2952"/>
      <c r="P43" s="3318" t="str">
        <f>A43</f>
        <v>估价对象XX用房的比较价值（楼面单价，元/平方米）</v>
      </c>
      <c r="Q43" s="3319"/>
      <c r="R43" s="3352" t="e">
        <f>ROUND(IF(D42="简单平均",AVERAGE(R42:W42),R42*F42+T42*H42+V42*J42),0)</f>
        <v>#DIV/0!</v>
      </c>
      <c r="S43" s="3352"/>
      <c r="T43" s="3352"/>
      <c r="U43" s="3352"/>
      <c r="V43" s="3352"/>
      <c r="W43" s="3352"/>
      <c r="X43" s="697"/>
      <c r="Y43" s="697"/>
      <c r="Z43" s="697"/>
      <c r="AA43" s="697"/>
      <c r="AB43" s="697"/>
      <c r="AC43" s="697"/>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0"/>
      <c r="D49" s="698"/>
      <c r="E49" s="698"/>
      <c r="F49" s="698"/>
      <c r="G49" s="698"/>
      <c r="H49" s="698"/>
      <c r="I49" s="698"/>
      <c r="J49" s="698"/>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8" t="s">
        <v>2579</v>
      </c>
      <c r="B50" s="639" t="s">
        <v>2580</v>
      </c>
      <c r="C50" s="2167" t="s">
        <v>2581</v>
      </c>
      <c r="D50" s="2168" t="s">
        <v>2582</v>
      </c>
      <c r="E50" s="640" t="s">
        <v>2583</v>
      </c>
      <c r="F50" s="641" t="s">
        <v>2584</v>
      </c>
      <c r="G50" s="3304" t="s">
        <v>2585</v>
      </c>
      <c r="H50" s="3353"/>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6" customFormat="1">
      <c r="A51" s="642" t="s">
        <v>2588</v>
      </c>
      <c r="B51" s="643" t="e">
        <f>C43</f>
        <v>#DIV/0!</v>
      </c>
      <c r="C51" s="644">
        <v>1</v>
      </c>
      <c r="D51" s="1073">
        <v>1</v>
      </c>
      <c r="E51" s="644">
        <f>'数据-汇总表'!E8+'数据-汇总表'!E9</f>
        <v>27173.91</v>
      </c>
      <c r="F51" s="645" t="e">
        <f t="shared" ref="F51:F60" si="15">ROUND(B51*E51/10000,0)</f>
        <v>#DIV/0!</v>
      </c>
      <c r="G51" s="3303"/>
      <c r="H51" s="3321"/>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6" customFormat="1">
      <c r="A52" s="647" t="s">
        <v>2589</v>
      </c>
      <c r="B52" s="223" t="e">
        <f>ROUND($C$43*C52*D52,0)</f>
        <v>#DIV/0!</v>
      </c>
      <c r="C52" s="175">
        <f t="shared" ref="C52:C60" si="16">IF($C$50="北京市系数",I52,J52)</f>
        <v>0</v>
      </c>
      <c r="D52" s="1074">
        <v>0.25</v>
      </c>
      <c r="E52" s="648"/>
      <c r="F52" s="645" t="e">
        <f t="shared" si="15"/>
        <v>#DIV/0!</v>
      </c>
      <c r="G52" s="3354" t="s">
        <v>2590</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6" customFormat="1">
      <c r="A53" s="647" t="s">
        <v>2591</v>
      </c>
      <c r="B53" s="223" t="e">
        <f t="shared" ref="B53:B60" si="17">ROUND($C$43*C53*D53,0)</f>
        <v>#DIV/0!</v>
      </c>
      <c r="C53" s="175">
        <f t="shared" si="16"/>
        <v>0</v>
      </c>
      <c r="D53" s="1074">
        <v>0.25</v>
      </c>
      <c r="E53" s="648"/>
      <c r="F53" s="645" t="e">
        <f t="shared" si="15"/>
        <v>#DIV/0!</v>
      </c>
      <c r="G53" s="3354"/>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6" customFormat="1">
      <c r="A54" s="647" t="s">
        <v>2592</v>
      </c>
      <c r="B54" s="223" t="e">
        <f t="shared" si="17"/>
        <v>#DIV/0!</v>
      </c>
      <c r="C54" s="175">
        <f t="shared" si="16"/>
        <v>0</v>
      </c>
      <c r="D54" s="1074">
        <v>0.25</v>
      </c>
      <c r="E54" s="648"/>
      <c r="F54" s="645" t="e">
        <f t="shared" si="15"/>
        <v>#DIV/0!</v>
      </c>
      <c r="G54" s="3354"/>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6" customFormat="1">
      <c r="A55" s="647" t="s">
        <v>2593</v>
      </c>
      <c r="B55" s="223" t="e">
        <f t="shared" si="17"/>
        <v>#DIV/0!</v>
      </c>
      <c r="C55" s="175">
        <f t="shared" si="16"/>
        <v>0</v>
      </c>
      <c r="D55" s="1074">
        <v>0.25</v>
      </c>
      <c r="E55" s="648"/>
      <c r="F55" s="645" t="e">
        <f t="shared" si="15"/>
        <v>#DIV/0!</v>
      </c>
      <c r="G55" s="3354"/>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6" customFormat="1">
      <c r="A56" s="647" t="s">
        <v>2594</v>
      </c>
      <c r="B56" s="223" t="e">
        <f t="shared" si="17"/>
        <v>#DIV/0!</v>
      </c>
      <c r="C56" s="175">
        <f t="shared" si="16"/>
        <v>0</v>
      </c>
      <c r="D56" s="1074">
        <v>0.25</v>
      </c>
      <c r="E56" s="222">
        <f>'数据-汇总表'!E11</f>
        <v>0</v>
      </c>
      <c r="F56" s="645" t="e">
        <f t="shared" si="15"/>
        <v>#DIV/0!</v>
      </c>
      <c r="G56" s="2171" t="s">
        <v>2595</v>
      </c>
      <c r="H56" s="1016">
        <f>项目基本情况!C37</f>
        <v>0</v>
      </c>
      <c r="I56" s="877">
        <f>SUMIF(修正!A45:A56,H56,修正!F45:F56)</f>
        <v>0</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6" customFormat="1">
      <c r="A57" s="647" t="s">
        <v>2596</v>
      </c>
      <c r="B57" s="223" t="e">
        <f t="shared" si="17"/>
        <v>#DIV/0!</v>
      </c>
      <c r="C57" s="175">
        <f t="shared" si="16"/>
        <v>0</v>
      </c>
      <c r="D57" s="1074">
        <v>0.25</v>
      </c>
      <c r="E57" s="222">
        <f>'数据-汇总表'!E12</f>
        <v>0</v>
      </c>
      <c r="F57" s="645" t="e">
        <f t="shared" si="15"/>
        <v>#DIV/0!</v>
      </c>
      <c r="G57" s="1021" t="s">
        <v>2597</v>
      </c>
      <c r="H57" s="1016">
        <f>IF(G57="商业",项目基本情况!B37,IF(G57="办公",项目基本情况!C37,IF(G57="住宅",项目基本情况!D37,项目基本情况!E37)))</f>
        <v>0</v>
      </c>
      <c r="I57" s="877">
        <f>SUMIF(修正!A45:A56,H57,修正!G45:G56)</f>
        <v>0</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6" customFormat="1">
      <c r="A58" s="647" t="s">
        <v>2598</v>
      </c>
      <c r="B58" s="223" t="e">
        <f t="shared" si="17"/>
        <v>#DIV/0!</v>
      </c>
      <c r="C58" s="175">
        <f t="shared" si="16"/>
        <v>0</v>
      </c>
      <c r="D58" s="1074">
        <v>0.25</v>
      </c>
      <c r="E58" s="222">
        <f>'数据-汇总表'!E13</f>
        <v>0</v>
      </c>
      <c r="F58" s="645" t="e">
        <f t="shared" si="15"/>
        <v>#DIV/0!</v>
      </c>
      <c r="G58" s="1021" t="s">
        <v>2599</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6" customFormat="1">
      <c r="A59" s="647" t="s">
        <v>2600</v>
      </c>
      <c r="B59" s="223" t="e">
        <f t="shared" si="17"/>
        <v>#DIV/0!</v>
      </c>
      <c r="C59" s="175">
        <f t="shared" si="16"/>
        <v>0</v>
      </c>
      <c r="D59" s="1074">
        <v>0.25</v>
      </c>
      <c r="E59" s="222">
        <f>'数据-汇总表'!E14</f>
        <v>0</v>
      </c>
      <c r="F59" s="645" t="e">
        <f t="shared" si="15"/>
        <v>#DIV/0!</v>
      </c>
      <c r="G59" s="2171" t="s">
        <v>2590</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6" customFormat="1" ht="15" thickBot="1">
      <c r="A60" s="647" t="s">
        <v>2601</v>
      </c>
      <c r="B60" s="223" t="e">
        <f t="shared" si="17"/>
        <v>#DIV/0!</v>
      </c>
      <c r="C60" s="175">
        <f t="shared" si="16"/>
        <v>0</v>
      </c>
      <c r="D60" s="1074">
        <v>0.25</v>
      </c>
      <c r="E60" s="222">
        <f>'数据-汇总表'!E15</f>
        <v>0</v>
      </c>
      <c r="F60" s="645" t="e">
        <f t="shared" si="15"/>
        <v>#DIV/0!</v>
      </c>
      <c r="G60" s="2172" t="s">
        <v>2595</v>
      </c>
      <c r="H60" s="1026">
        <f>项目基本情况!C37</f>
        <v>0</v>
      </c>
      <c r="I60" s="877">
        <f>SUMIF(修正!A45:A56,H60,修正!H45:H56)</f>
        <v>0</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6" customFormat="1" ht="15" thickBot="1">
      <c r="A61" s="649" t="s">
        <v>2602</v>
      </c>
      <c r="B61" s="650" t="s">
        <v>28</v>
      </c>
      <c r="C61" s="650" t="s">
        <v>29</v>
      </c>
      <c r="D61" s="650" t="s">
        <v>997</v>
      </c>
      <c r="E61" s="650">
        <f>IF(B41="楼面地价",SUM(E51:E60),'数据-汇总表'!D3)</f>
        <v>16322</v>
      </c>
      <c r="F61" s="651"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699" t="str">
        <f>YEAR(C7)&amp;"-"&amp;MONTH(C7)&amp;"-1"</f>
        <v>2021-12-1</v>
      </c>
      <c r="D63" s="699">
        <f>EDATE(C63,-3)</f>
        <v>44440</v>
      </c>
      <c r="E63" s="699">
        <f>EDATE(D63,-3)</f>
        <v>44348</v>
      </c>
      <c r="F63" s="699">
        <f t="shared" ref="F63:O63" si="18">EDATE(E63,-3)</f>
        <v>44256</v>
      </c>
      <c r="G63" s="699">
        <f t="shared" si="18"/>
        <v>44166</v>
      </c>
      <c r="H63" s="699">
        <f t="shared" si="18"/>
        <v>44075</v>
      </c>
      <c r="I63" s="699">
        <f t="shared" si="18"/>
        <v>43983</v>
      </c>
      <c r="J63" s="699">
        <f t="shared" si="18"/>
        <v>43891</v>
      </c>
      <c r="K63" s="699">
        <f t="shared" si="18"/>
        <v>43800</v>
      </c>
      <c r="L63" s="699">
        <f t="shared" si="18"/>
        <v>43709</v>
      </c>
      <c r="M63" s="699">
        <f t="shared" si="18"/>
        <v>43617</v>
      </c>
      <c r="N63" s="699">
        <f t="shared" si="18"/>
        <v>43525</v>
      </c>
      <c r="O63" s="699">
        <f t="shared" si="18"/>
        <v>43435</v>
      </c>
      <c r="P63" s="2952"/>
      <c r="Q63" s="2952"/>
      <c r="R63" s="2952"/>
      <c r="S63" s="2952"/>
      <c r="T63" s="2952"/>
      <c r="U63" s="2952"/>
      <c r="V63" s="2952"/>
      <c r="W63" s="2952"/>
      <c r="X63" s="2952"/>
      <c r="Y63" s="2952"/>
      <c r="Z63" s="2952"/>
      <c r="AA63" s="2952"/>
      <c r="AB63" s="2952"/>
      <c r="AC63" s="2952"/>
      <c r="AD63" s="2952"/>
      <c r="AE63" s="2952"/>
    </row>
    <row r="64" spans="1:31" ht="21.75" thickBot="1">
      <c r="A64" s="701" t="s">
        <v>2495</v>
      </c>
      <c r="B64" s="697"/>
      <c r="C64" s="702"/>
      <c r="D64" s="702"/>
      <c r="E64" s="702"/>
      <c r="F64" s="703"/>
      <c r="G64" s="703"/>
      <c r="H64" s="702"/>
      <c r="I64" s="702"/>
      <c r="J64" s="702"/>
      <c r="K64" s="704"/>
      <c r="L64" s="705"/>
      <c r="M64" s="702"/>
      <c r="N64" s="702"/>
      <c r="O64" s="1069"/>
      <c r="P64" s="2996"/>
      <c r="Q64" s="2966"/>
      <c r="R64" s="2952"/>
      <c r="S64" s="2952"/>
      <c r="T64" s="2952"/>
      <c r="U64" s="2952"/>
      <c r="V64" s="2952"/>
      <c r="W64" s="2952"/>
      <c r="X64" s="2952"/>
      <c r="Y64" s="2952"/>
      <c r="Z64" s="2952"/>
      <c r="AA64" s="2952"/>
      <c r="AB64" s="2952"/>
      <c r="AC64" s="2952"/>
      <c r="AD64" s="2952"/>
      <c r="AE64" s="2952"/>
    </row>
    <row r="65" spans="1:31" s="464" customFormat="1" ht="15">
      <c r="A65" s="2173" t="s">
        <v>2603</v>
      </c>
      <c r="B65" s="1267"/>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3" t="str">
        <f>"北京市平均增长率"&amp;TEXT(基准地价修正!P24,"0.00%")</f>
        <v>北京市平均增长率1.22%</v>
      </c>
      <c r="C66" s="559">
        <v>100</v>
      </c>
      <c r="D66" s="551"/>
      <c r="E66" s="551"/>
      <c r="F66" s="551"/>
      <c r="G66" s="551"/>
      <c r="H66" s="551"/>
      <c r="I66" s="551"/>
      <c r="J66" s="551"/>
      <c r="K66" s="551"/>
      <c r="L66" s="551"/>
      <c r="M66" s="1338"/>
      <c r="N66" s="1338"/>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1" t="s">
        <v>2406</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3" customFormat="1" ht="15">
      <c r="A68" s="477" t="s">
        <v>2371</v>
      </c>
      <c r="B68" s="466"/>
      <c r="C68" s="478" t="s">
        <v>2473</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7"/>
      <c r="B69" s="466"/>
      <c r="C69" s="593">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2409</v>
      </c>
      <c r="B70" s="484" t="s">
        <v>2375</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2378</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2380</v>
      </c>
      <c r="B83" s="484" t="s">
        <v>2526</v>
      </c>
      <c r="C83" s="529" t="s">
        <v>2418</v>
      </c>
      <c r="D83" s="529" t="s">
        <v>2419</v>
      </c>
      <c r="E83" s="529" t="s">
        <v>2420</v>
      </c>
      <c r="F83" s="529" t="s">
        <v>2421</v>
      </c>
      <c r="G83" s="529" t="s">
        <v>2422</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2423</v>
      </c>
      <c r="C85" s="534" t="s">
        <v>2418</v>
      </c>
      <c r="D85" s="534" t="s">
        <v>2419</v>
      </c>
      <c r="E85" s="534" t="s">
        <v>2420</v>
      </c>
      <c r="F85" s="534" t="s">
        <v>2421</v>
      </c>
      <c r="G85" s="534" t="s">
        <v>2422</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5"/>
      <c r="B87" s="494" t="s">
        <v>2606</v>
      </c>
      <c r="C87" s="529" t="s">
        <v>2418</v>
      </c>
      <c r="D87" s="529" t="s">
        <v>2419</v>
      </c>
      <c r="E87" s="529" t="s">
        <v>2420</v>
      </c>
      <c r="F87" s="529" t="s">
        <v>2421</v>
      </c>
      <c r="G87" s="529" t="s">
        <v>2422</v>
      </c>
      <c r="H87" s="534"/>
      <c r="I87" s="534"/>
      <c r="J87" s="534"/>
      <c r="K87" s="534"/>
      <c r="L87" s="652"/>
      <c r="M87" s="576"/>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6"/>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2624</v>
      </c>
      <c r="C93" s="614" t="s">
        <v>2496</v>
      </c>
      <c r="D93" s="614" t="s">
        <v>2497</v>
      </c>
      <c r="E93" s="614" t="s">
        <v>2498</v>
      </c>
      <c r="F93" s="614" t="s">
        <v>2499</v>
      </c>
      <c r="G93" s="614" t="s">
        <v>2500</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2512</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2571</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29"/>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1"/>
      <c r="H106" s="631"/>
      <c r="I106" s="631"/>
      <c r="J106" s="631"/>
      <c r="K106" s="631"/>
      <c r="L106" s="631"/>
      <c r="M106" s="653"/>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2613</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2615</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2616</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4"/>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2625</v>
      </c>
      <c r="B1" s="202"/>
      <c r="C1" s="206" t="s">
        <v>2626</v>
      </c>
      <c r="D1" s="347">
        <f>SUM(D29:D30,D33:D39)</f>
        <v>0</v>
      </c>
      <c r="E1" s="2179"/>
      <c r="F1" s="2179"/>
      <c r="G1" s="2179"/>
      <c r="H1" s="2179"/>
      <c r="I1" s="2179"/>
      <c r="J1" s="2179"/>
      <c r="K1" s="1278"/>
      <c r="L1" s="2180" t="s">
        <v>2627</v>
      </c>
      <c r="M1" s="992">
        <f>SUMPRODUCT((区片价!B5:B9=I2)*(区片价!C3:F3=E2)*(区片价!C5:F9))</f>
        <v>0</v>
      </c>
      <c r="N1" s="995">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8"/>
      <c r="L2" s="2188"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2639</v>
      </c>
      <c r="B3" s="209" t="e">
        <f>ROUND(B2*10000/D1,0)</f>
        <v>#DIV/0!</v>
      </c>
      <c r="C3" s="2183" t="s">
        <v>2640</v>
      </c>
      <c r="D3" s="2184" t="s">
        <v>2641</v>
      </c>
      <c r="E3" s="2189"/>
      <c r="F3" s="2190" t="s">
        <v>2642</v>
      </c>
      <c r="G3" s="853">
        <f>IF(F3="宗地容积率",'数据-汇总表'!I4,IF(F3="估价对象容积率",'数据-汇总表'!I6,'数据-汇总表'!I7))</f>
        <v>1.66</v>
      </c>
      <c r="H3" s="174" t="s">
        <v>2643</v>
      </c>
      <c r="I3" s="879"/>
      <c r="J3" s="2187" t="s">
        <v>2644</v>
      </c>
      <c r="K3" s="1278"/>
      <c r="L3" s="2188" t="s">
        <v>2645</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78"/>
      <c r="B4" s="3379"/>
      <c r="C4" s="3379"/>
      <c r="D4" s="3380"/>
      <c r="E4" s="3380"/>
      <c r="F4" s="3380"/>
      <c r="G4" s="3380"/>
      <c r="H4" s="3380"/>
      <c r="I4" s="3380"/>
      <c r="J4" s="3381"/>
      <c r="K4" s="1278"/>
      <c r="L4" s="2188" t="s">
        <v>2646</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4" t="e">
        <f>ROUND(IF(E2="商业",C6*C7+C16,(IF(E2="住宅",C6*C12+C16,C6+C16))),0)</f>
        <v>#DIV/0!</v>
      </c>
      <c r="D5" s="1521" t="e">
        <f>ROUND(C6+C16,0)</f>
        <v>#DIV/0!</v>
      </c>
      <c r="E5" s="1521"/>
      <c r="F5" s="2193"/>
      <c r="G5" s="2194"/>
      <c r="H5" s="2194"/>
      <c r="I5" s="2194"/>
      <c r="J5" s="2195"/>
      <c r="K5" s="2196"/>
      <c r="L5" s="2188" t="s">
        <v>2648</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2649</v>
      </c>
      <c r="B6" s="2202" t="s">
        <v>2650</v>
      </c>
      <c r="C6" s="855">
        <f>SUMIF(L1:L12,G2,M1:M12)</f>
        <v>0</v>
      </c>
      <c r="D6" s="2203" t="s">
        <v>2651</v>
      </c>
      <c r="E6" s="2204"/>
      <c r="F6" s="2204"/>
      <c r="G6" s="2205"/>
      <c r="H6" s="2205"/>
      <c r="I6" s="2205"/>
      <c r="J6" s="2206"/>
      <c r="K6" s="1566"/>
      <c r="L6" s="2188" t="s">
        <v>2652</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59" t="str">
        <f>IF(E2="商业",IF(C8="不临58条商业街","",2),"")</f>
        <v/>
      </c>
      <c r="B7" s="2207" t="s">
        <v>2653</v>
      </c>
      <c r="C7" s="856" t="e">
        <f>IF(C8="不临58条商业街",1,ROUND(1+(1.6*E8+1.2*E9+0.8*E10+0.4*E11)*C9,4))</f>
        <v>#DIV/0!</v>
      </c>
      <c r="D7" s="2208" t="s">
        <v>2654</v>
      </c>
      <c r="E7" s="880"/>
      <c r="F7" s="2209"/>
      <c r="G7" s="2210"/>
      <c r="H7" s="2210"/>
      <c r="I7" s="2210"/>
      <c r="J7" s="2211"/>
      <c r="K7" s="1566"/>
      <c r="L7" s="2188" t="s">
        <v>2655</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2656</v>
      </c>
      <c r="X7" s="1374">
        <f>G2</f>
        <v>0</v>
      </c>
      <c r="Y7" s="1374" t="s">
        <v>2657</v>
      </c>
      <c r="Z7" s="1375">
        <f>G3</f>
        <v>1.66</v>
      </c>
      <c r="AA7" s="1376"/>
      <c r="AB7" s="1376"/>
      <c r="AC7" s="1377"/>
      <c r="AD7" s="1378"/>
      <c r="AE7" s="1378"/>
      <c r="AF7" s="1378"/>
      <c r="AG7" s="1378"/>
      <c r="AH7" s="1378"/>
      <c r="AI7" s="1378"/>
      <c r="AJ7" s="1379"/>
    </row>
    <row r="8" spans="1:36" ht="15">
      <c r="A8" s="3382"/>
      <c r="B8" s="174" t="s">
        <v>2658</v>
      </c>
      <c r="C8" s="2212"/>
      <c r="D8" s="857" t="s">
        <v>139</v>
      </c>
      <c r="E8" s="858" t="e">
        <f>ROUND(C11/E7,4)</f>
        <v>#DIV/0!</v>
      </c>
      <c r="F8" s="2213" t="s">
        <v>2659</v>
      </c>
      <c r="G8" s="2214"/>
      <c r="H8" s="2214"/>
      <c r="I8" s="2214"/>
      <c r="J8" s="2215"/>
      <c r="K8" s="1278"/>
      <c r="L8" s="2188"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375" t="s">
        <v>2661</v>
      </c>
      <c r="X8" s="3376"/>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82"/>
      <c r="B9" s="174" t="s">
        <v>2674</v>
      </c>
      <c r="C9" s="859">
        <f>SUMIF(修正!C59:C119,C8,修正!E59:E119)</f>
        <v>0</v>
      </c>
      <c r="D9" s="175" t="s">
        <v>140</v>
      </c>
      <c r="E9" s="175" t="e">
        <f>ROUND(C11/E7,4)</f>
        <v>#DIV/0!</v>
      </c>
      <c r="F9" s="2213" t="s">
        <v>2675</v>
      </c>
      <c r="G9" s="2214"/>
      <c r="H9" s="2214"/>
      <c r="I9" s="2214"/>
      <c r="J9" s="2215"/>
      <c r="K9" s="1278"/>
      <c r="L9" s="2188" t="s">
        <v>2676</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377"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82"/>
      <c r="B10" s="174" t="s">
        <v>2679</v>
      </c>
      <c r="C10" s="175">
        <f>SUMIF(修正!C59:C119,C8,修正!F59:F119)</f>
        <v>0</v>
      </c>
      <c r="D10" s="175" t="s">
        <v>141</v>
      </c>
      <c r="E10" s="175" t="e">
        <f>ROUND(C11/E7,4)</f>
        <v>#DIV/0!</v>
      </c>
      <c r="F10" s="2213" t="s">
        <v>2680</v>
      </c>
      <c r="G10" s="2214"/>
      <c r="H10" s="2214"/>
      <c r="I10" s="2214"/>
      <c r="J10" s="2215"/>
      <c r="K10" s="1278"/>
      <c r="L10" s="2188"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377"/>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82"/>
      <c r="B11" s="2216" t="s">
        <v>2682</v>
      </c>
      <c r="C11" s="860">
        <f>C10/4</f>
        <v>0</v>
      </c>
      <c r="D11" s="860" t="s">
        <v>142</v>
      </c>
      <c r="E11" s="860" t="e">
        <f>ROUND(C11/E7,4)</f>
        <v>#DIV/0!</v>
      </c>
      <c r="F11" s="2217" t="s">
        <v>2683</v>
      </c>
      <c r="G11" s="2218"/>
      <c r="H11" s="2218"/>
      <c r="I11" s="2218"/>
      <c r="J11" s="2219"/>
      <c r="K11" s="1278"/>
      <c r="L11" s="2188"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377" t="s">
        <v>2685</v>
      </c>
      <c r="X11" s="1384" t="s">
        <v>2686</v>
      </c>
      <c r="Y11" s="1385">
        <f>$G$3</f>
        <v>1.66</v>
      </c>
      <c r="Z11" s="1385">
        <f t="shared" ref="Z11:AJ11" si="3">$G$3</f>
        <v>1.66</v>
      </c>
      <c r="AA11" s="1385">
        <f t="shared" si="3"/>
        <v>1.66</v>
      </c>
      <c r="AB11" s="1385">
        <f t="shared" si="3"/>
        <v>1.66</v>
      </c>
      <c r="AC11" s="1385">
        <f t="shared" si="3"/>
        <v>1.66</v>
      </c>
      <c r="AD11" s="1385">
        <f t="shared" si="3"/>
        <v>1.66</v>
      </c>
      <c r="AE11" s="1385">
        <f t="shared" si="3"/>
        <v>1.66</v>
      </c>
      <c r="AF11" s="1385">
        <f t="shared" si="3"/>
        <v>1.66</v>
      </c>
      <c r="AG11" s="1385">
        <f t="shared" si="3"/>
        <v>1.66</v>
      </c>
      <c r="AH11" s="1385">
        <f t="shared" si="3"/>
        <v>1.66</v>
      </c>
      <c r="AI11" s="1385">
        <f t="shared" si="3"/>
        <v>1.66</v>
      </c>
      <c r="AJ11" s="1385">
        <f t="shared" si="3"/>
        <v>1.66</v>
      </c>
    </row>
    <row r="12" spans="1:36" ht="25.5" thickBot="1">
      <c r="A12" s="3359" t="s">
        <v>2687</v>
      </c>
      <c r="B12" s="2220" t="s">
        <v>2688</v>
      </c>
      <c r="C12" s="856">
        <f>ROUND(C15*D15*E15*F15*G15*H15*I15*J15,4)</f>
        <v>1</v>
      </c>
      <c r="D12" s="2221" t="s">
        <v>2689</v>
      </c>
      <c r="E12" s="2222"/>
      <c r="F12" s="2222"/>
      <c r="G12" s="2223"/>
      <c r="H12" s="2223"/>
      <c r="I12" s="2223"/>
      <c r="J12" s="2224"/>
      <c r="K12" s="1278"/>
      <c r="L12" s="2225"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377"/>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83"/>
      <c r="B13" s="2226" t="s">
        <v>2692</v>
      </c>
      <c r="C13" s="2227" t="s">
        <v>2693</v>
      </c>
      <c r="D13" s="1532" t="s">
        <v>2694</v>
      </c>
      <c r="E13" s="1532" t="s">
        <v>2695</v>
      </c>
      <c r="F13" s="30" t="s">
        <v>2696</v>
      </c>
      <c r="G13" s="2228" t="s">
        <v>2697</v>
      </c>
      <c r="H13" s="2228" t="s">
        <v>2697</v>
      </c>
      <c r="I13" s="2228" t="s">
        <v>2697</v>
      </c>
      <c r="J13" s="2229" t="s">
        <v>2697</v>
      </c>
      <c r="K13" s="1278"/>
      <c r="L13" s="1278"/>
      <c r="M13" s="1278"/>
      <c r="N13" s="1278"/>
      <c r="O13" s="1278"/>
      <c r="P13" s="1278"/>
      <c r="Q13" s="1278"/>
      <c r="R13" s="1372">
        <v>12</v>
      </c>
      <c r="S13" s="1373"/>
      <c r="T13" s="1372" t="e">
        <f t="shared" si="0"/>
        <v>#DIV/0!</v>
      </c>
      <c r="U13" s="1373"/>
      <c r="V13" s="1372" t="e">
        <f t="shared" si="1"/>
        <v>#DIV/0!</v>
      </c>
      <c r="W13" s="3377"/>
      <c r="X13" s="1386"/>
      <c r="Y13" s="1383">
        <f>(-0.163*(Y12^2)-0.59*Y12+7617)*(10^(-4))/Y11</f>
        <v>0.45885542168674703</v>
      </c>
      <c r="Z13" s="1383">
        <f t="shared" ref="Z13:AJ13" si="5">(-0.163*(Z12^2)-0.59*Z12+7617)*(10^(-4))/Z11</f>
        <v>0.45885542168674703</v>
      </c>
      <c r="AA13" s="1383">
        <f t="shared" si="5"/>
        <v>0.45885542168674703</v>
      </c>
      <c r="AB13" s="1383">
        <f t="shared" si="5"/>
        <v>0.45885542168674703</v>
      </c>
      <c r="AC13" s="1383">
        <f t="shared" si="5"/>
        <v>0.45885542168674703</v>
      </c>
      <c r="AD13" s="1383">
        <f t="shared" si="5"/>
        <v>0.45885542168674703</v>
      </c>
      <c r="AE13" s="1383">
        <f t="shared" si="5"/>
        <v>0.45885542168674703</v>
      </c>
      <c r="AF13" s="1383">
        <f t="shared" si="5"/>
        <v>0.45885542168674703</v>
      </c>
      <c r="AG13" s="1383">
        <f t="shared" si="5"/>
        <v>0.45885542168674703</v>
      </c>
      <c r="AH13" s="1383">
        <f t="shared" si="5"/>
        <v>0.45885542168674703</v>
      </c>
      <c r="AI13" s="1383">
        <f t="shared" si="5"/>
        <v>0.45885542168674703</v>
      </c>
      <c r="AJ13" s="1383">
        <f t="shared" si="5"/>
        <v>0.45885542168674703</v>
      </c>
    </row>
    <row r="14" spans="1:36" ht="15">
      <c r="A14" s="3383"/>
      <c r="B14" s="2230"/>
      <c r="C14" s="2231"/>
      <c r="D14" s="2232"/>
      <c r="E14" s="2232"/>
      <c r="F14" s="2233"/>
      <c r="G14" s="2234" t="s">
        <v>2698</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384"/>
      <c r="B15" s="2238" t="s">
        <v>2699</v>
      </c>
      <c r="C15" s="192">
        <f>IF(C14="有",1.1,1)</f>
        <v>1</v>
      </c>
      <c r="D15" s="192">
        <f>IF(D14="有",1.1,1)</f>
        <v>1</v>
      </c>
      <c r="E15" s="192">
        <f>IF(E14="有",1.1,1)</f>
        <v>1</v>
      </c>
      <c r="F15" s="192">
        <f>IF(F14="500米范围内",1.2,IF(F14="500-1000米",1.1,1))</f>
        <v>1</v>
      </c>
      <c r="G15" s="881">
        <v>1</v>
      </c>
      <c r="H15" s="881">
        <v>1</v>
      </c>
      <c r="I15" s="881">
        <v>1</v>
      </c>
      <c r="J15" s="882">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59" t="s">
        <v>2704</v>
      </c>
      <c r="B16" s="2207" t="s">
        <v>2705</v>
      </c>
      <c r="C16" s="2369" t="e">
        <f>ROUND(IF(F17="与级别开发程度一致",0,(G17-E17)/C17),0)</f>
        <v>#DIV/0!</v>
      </c>
      <c r="D16" s="3372" t="s">
        <v>2709</v>
      </c>
      <c r="E16" s="3373"/>
      <c r="F16" s="3372" t="s">
        <v>2706</v>
      </c>
      <c r="G16" s="3373"/>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60"/>
      <c r="B17" s="2380" t="s">
        <v>2708</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7.75" thickBot="1">
      <c r="A19" s="2244" t="s">
        <v>809</v>
      </c>
      <c r="B19" s="2245" t="s">
        <v>2712</v>
      </c>
      <c r="C19" s="861" t="e">
        <f>ROUND(IF(H19="按公示增长率计算",SUMPRODUCT((地价!A3:A36=YEAR(G19)&amp;"-"&amp;ROUNDUP(MONTH(G19)/3,0))*(地价!X2:AB2=E2)*(地价!X3:AB36)),IF(H19="地价指数",M20/M19,(1+I19)^O19)),4)</f>
        <v>#VALUE!</v>
      </c>
      <c r="D19" s="2249" t="s">
        <v>2713</v>
      </c>
      <c r="E19" s="862">
        <v>41640</v>
      </c>
      <c r="F19" s="2249" t="s">
        <v>2714</v>
      </c>
      <c r="G19" s="863">
        <f>'数据-取费表'!B2</f>
        <v>44544</v>
      </c>
      <c r="H19" s="2250"/>
      <c r="I19" s="864" t="str">
        <f>IF(H19="季度增幅（自定义）",SUMIF(N21:N24,E2,O21:O24),"")</f>
        <v/>
      </c>
      <c r="J19" s="2247"/>
      <c r="K19" s="1285"/>
      <c r="L19" s="2251" t="s">
        <v>2715</v>
      </c>
      <c r="M19" s="1494">
        <f>ROUND(SUMIF(地价!B2:F2,E2,地价!B36:F36),0)</f>
        <v>0</v>
      </c>
      <c r="N19" s="2252" t="s">
        <v>2716</v>
      </c>
      <c r="O19" s="865">
        <f>ROUNDDOWN(DATEDIF(E19,G19,"M")/3,0)</f>
        <v>31</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2717</v>
      </c>
      <c r="C20" s="866" t="e">
        <f>ROUND(POWER(1+G20,J20-I20)*(POWER(1+G20,I20)-1)/(POWER(1+G20,J20)-1),4)</f>
        <v>#DIV/0!</v>
      </c>
      <c r="D20" s="2256" t="s">
        <v>2718</v>
      </c>
      <c r="E20" s="1503">
        <f>存贷款利率!E18/100</f>
        <v>4.3499999999999997E-2</v>
      </c>
      <c r="F20" s="2256" t="s">
        <v>2710</v>
      </c>
      <c r="G20" s="871">
        <f>SUMIF(M26:P26,E2,M28:P28)</f>
        <v>0</v>
      </c>
      <c r="H20" s="2256" t="s">
        <v>2719</v>
      </c>
      <c r="I20" s="872" t="e">
        <f>SUMIF('数据-取费表'!C6:C15,E2,'数据-取费表'!F6:F15)/COUNTIF('数据-取费表'!C6:C15,E2)</f>
        <v>#DIV/0!</v>
      </c>
      <c r="J20" s="873">
        <f>IF(E2="住宅",70,IF(E2="商业",40,50))</f>
        <v>50</v>
      </c>
      <c r="K20" s="1285"/>
      <c r="L20" s="2257" t="s">
        <v>2720</v>
      </c>
      <c r="M20" s="1495">
        <f>ROUND(SUMPRODUCT((地价!A4:A36=YEAR(G19)&amp;"-"&amp;ROUNDUP(MONTH(G19)/3,0))*(地价!B2:F2=E2)*(地价!B4:F36)),0)</f>
        <v>0</v>
      </c>
      <c r="N20" s="2258" t="s">
        <v>2721</v>
      </c>
      <c r="O20" s="2259" t="s">
        <v>2722</v>
      </c>
      <c r="P20" s="2260" t="s">
        <v>2723</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2724</v>
      </c>
      <c r="C21" s="874">
        <f>IF(B21="容积率修正",IF(G3&lt;=10,D22,J22),C23)</f>
        <v>0</v>
      </c>
      <c r="D21" s="2263"/>
      <c r="E21" s="2263"/>
      <c r="F21" s="2263"/>
      <c r="G21" s="2263"/>
      <c r="H21" s="2263"/>
      <c r="I21" s="2263"/>
      <c r="J21" s="2264"/>
      <c r="K21" s="1285"/>
      <c r="L21" s="3017"/>
      <c r="M21" s="3017"/>
      <c r="N21" s="2265" t="s">
        <v>2725</v>
      </c>
      <c r="O21" s="1333"/>
      <c r="P21" s="1334">
        <f>SUMPRODUCT((地价!A3:A36=YEAR(G19)&amp;"-"&amp;ROUNDUP(MONTH(G19)/3,0))*(地价!AD2:AH2=N21)*(地价!AD3:AH36))</f>
        <v>1.0500000000000001E-2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2726</v>
      </c>
      <c r="B22" s="2266" t="s">
        <v>2727</v>
      </c>
      <c r="C22" s="1534" t="s">
        <v>2728</v>
      </c>
      <c r="D22" s="1534">
        <f>IF(E22=G22,F22,IF(G3&lt;=10,ROUND(F22+(H22-F22)*(G3-E22)/(G22-E22),4),"——"))</f>
        <v>0</v>
      </c>
      <c r="E22" s="853">
        <f>ROUNDDOWN(G3,1)</f>
        <v>1.6</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1.7000000000000002</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5" t="str">
        <f>IF(G3&gt;10,D113,"——")</f>
        <v>——</v>
      </c>
      <c r="K22" s="1285"/>
      <c r="L22" s="3017"/>
      <c r="M22" s="3017"/>
      <c r="N22" s="2265" t="s">
        <v>2729</v>
      </c>
      <c r="O22" s="1333"/>
      <c r="P22" s="1334">
        <f>SUMPRODUCT((地价!A3:A36=YEAR(G19)&amp;"-"&amp;ROUNDUP(MONTH(G19)/3,0))*(地价!AD2:AH2=N22)*(地价!AD3:AH36))</f>
        <v>1.0500000000000001E-2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2730</v>
      </c>
      <c r="B23" s="2267" t="s">
        <v>2731</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2732</v>
      </c>
      <c r="O23" s="1333"/>
      <c r="P23" s="1334">
        <f>SUMPRODUCT((地价!A3:A36=YEAR(G19)&amp;"-"&amp;ROUNDUP(MONTH(G19)/3,0))*(地价!AD2:AH2=N23)*(地价!AD3:AH36))</f>
        <v>1.83E-2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2733</v>
      </c>
      <c r="C24" s="861">
        <f>SUMIF(A45:A88,E2,B45:B88)</f>
        <v>0</v>
      </c>
      <c r="D24" s="2246"/>
      <c r="E24" s="2273"/>
      <c r="F24" s="2273"/>
      <c r="G24" s="2273"/>
      <c r="H24" s="2273"/>
      <c r="I24" s="2273"/>
      <c r="J24" s="2274"/>
      <c r="K24" s="1285"/>
      <c r="L24" s="3017"/>
      <c r="M24" s="3017"/>
      <c r="N24" s="2275" t="s">
        <v>2734</v>
      </c>
      <c r="O24" s="1335"/>
      <c r="P24" s="1336">
        <f>SUMPRODUCT((地价!A3:A36=YEAR(G19)&amp;"-"&amp;ROUNDUP(MONTH(G19)/3,0))*(地价!AD2:AH2=N24)*(地价!AD3:AH36))</f>
        <v>1.2200000000000001E-2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2735</v>
      </c>
      <c r="C25" s="867"/>
      <c r="D25" s="2210"/>
      <c r="E25" s="2210"/>
      <c r="F25" s="2277"/>
      <c r="G25" s="2210"/>
      <c r="H25" s="2210"/>
      <c r="I25" s="2210"/>
      <c r="J25" s="2211"/>
      <c r="K25" s="1278"/>
      <c r="L25" s="2181"/>
      <c r="M25" s="2181"/>
      <c r="N25" s="3012" t="s">
        <v>2736</v>
      </c>
      <c r="O25" s="3013"/>
      <c r="P25" s="3014">
        <f>SUMPRODUCT((地价!A3:A36=YEAR(G19)&amp;"-"&amp;ROUNDUP(MONTH(G19)/3,0))*(地价!AD2:AH2=N25)*(地价!AD3:AH36))</f>
        <v>1.66E-2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8"/>
      <c r="L26" s="3015" t="s">
        <v>2635</v>
      </c>
      <c r="M26" s="2208" t="s">
        <v>2700</v>
      </c>
      <c r="N26" s="2208" t="s">
        <v>2701</v>
      </c>
      <c r="O26" s="2208" t="s">
        <v>2702</v>
      </c>
      <c r="P26" s="3016" t="s">
        <v>2703</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2738</v>
      </c>
      <c r="C27" s="868" t="e">
        <f>E30+SUM(I33:I39)</f>
        <v>#DIV/0!</v>
      </c>
      <c r="D27" s="2283"/>
      <c r="E27" s="2284"/>
      <c r="F27" s="2285"/>
      <c r="G27" s="2284"/>
      <c r="H27" s="2284"/>
      <c r="I27" s="2284"/>
      <c r="J27" s="2286"/>
      <c r="K27" s="1278"/>
      <c r="L27" s="2241"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8"/>
      <c r="L28" s="2242" t="s">
        <v>2710</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2743</v>
      </c>
      <c r="C29" s="179" t="e">
        <f>ROUND(C5*C18*C19*C20*C21*C24,0)</f>
        <v>#DIV/0!</v>
      </c>
      <c r="D29" s="2294"/>
      <c r="E29" s="877" t="e">
        <f>ROUND(C29*D29/10000,0)</f>
        <v>#DIV/0!</v>
      </c>
      <c r="F29" s="2295" t="s">
        <v>2744</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2745</v>
      </c>
      <c r="C30" s="192" t="e">
        <f>ROUND(IF(E2="工业",C29*M39,C29*M38),0)</f>
        <v>#DIV/0!</v>
      </c>
      <c r="D30" s="2300"/>
      <c r="E30" s="877" t="e">
        <f>ROUND(C30*D30/10000,0)</f>
        <v>#DIV/0!</v>
      </c>
      <c r="F30" s="2301" t="s">
        <v>2746</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2747</v>
      </c>
      <c r="C31" s="2306" t="s">
        <v>2748</v>
      </c>
      <c r="D31" s="2223"/>
      <c r="E31" s="2306"/>
      <c r="F31" s="2306"/>
      <c r="G31" s="2221" t="s">
        <v>2749</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2740</v>
      </c>
      <c r="D32" s="454" t="s">
        <v>2741</v>
      </c>
      <c r="E32" s="454" t="s">
        <v>2742</v>
      </c>
      <c r="F32" s="347" t="s">
        <v>2750</v>
      </c>
      <c r="G32" s="2309" t="s">
        <v>2740</v>
      </c>
      <c r="H32" s="2309" t="s">
        <v>2741</v>
      </c>
      <c r="I32" s="2309" t="s">
        <v>2742</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69"/>
      <c r="B33" s="2310" t="s">
        <v>2751</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374" t="s">
        <v>3047</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70"/>
      <c r="B34" s="2227" t="s">
        <v>2752</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70"/>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70"/>
      <c r="B35" s="2227" t="s">
        <v>2753</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70"/>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71"/>
      <c r="B36" s="2227" t="s">
        <v>2754</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71"/>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2755</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8"/>
      <c r="L37" s="2313" t="s">
        <v>2756</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2757</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8"/>
      <c r="L38" s="1603" t="s">
        <v>2758</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2759</v>
      </c>
      <c r="C39" s="192" t="e">
        <f>ROUND(D5*C19*C41*C24*F39,0)</f>
        <v>#DIV/0!</v>
      </c>
      <c r="D39" s="2300"/>
      <c r="E39" s="192" t="e">
        <f t="shared" si="7"/>
        <v>#DIV/0!</v>
      </c>
      <c r="F39" s="869">
        <f>SUMIF(修正!A45:A56,G2,修正!H45:H56)</f>
        <v>0</v>
      </c>
      <c r="G39" s="192" t="e">
        <f>ROUND(IF(E2="工业",C39*$M$39,C39*$M$38),0)</f>
        <v>#DIV/0!</v>
      </c>
      <c r="H39" s="192">
        <f t="shared" si="8"/>
        <v>0</v>
      </c>
      <c r="I39" s="192" t="e">
        <f t="shared" si="9"/>
        <v>#DIV/0!</v>
      </c>
      <c r="J39" s="2317"/>
      <c r="K39" s="1278"/>
      <c r="L39" s="2318" t="s">
        <v>2703</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2863</v>
      </c>
      <c r="C41" s="347" t="e">
        <f>ROUND(POWER(1+E41,H41-G41)*(POWER(1+E41,G41)-1)/(POWER(1+E41,H41)-1),4)</f>
        <v>#DIV/0!</v>
      </c>
      <c r="D41" s="175" t="s">
        <v>2710</v>
      </c>
      <c r="E41" s="2367">
        <f>G20</f>
        <v>0</v>
      </c>
      <c r="F41" s="175" t="s">
        <v>2719</v>
      </c>
      <c r="G41" s="188"/>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2760</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2761</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2762</v>
      </c>
      <c r="B47" s="1533" t="s">
        <v>2763</v>
      </c>
      <c r="C47" s="1533" t="s">
        <v>2764</v>
      </c>
      <c r="D47" s="1533" t="s">
        <v>2765</v>
      </c>
      <c r="E47" s="756" t="s">
        <v>2766</v>
      </c>
      <c r="F47" s="2328" t="s">
        <v>2767</v>
      </c>
      <c r="G47" s="1533" t="s">
        <v>754</v>
      </c>
      <c r="H47" s="2329" t="s">
        <v>2768</v>
      </c>
      <c r="I47" s="1533" t="s">
        <v>2769</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24.75">
      <c r="A48" s="2327" t="s">
        <v>2770</v>
      </c>
      <c r="B48" s="2330">
        <f>估价对象房地状况!C4</f>
        <v>0</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14.25">
      <c r="A49" s="2327" t="s">
        <v>2771</v>
      </c>
      <c r="B49" s="2331">
        <f>估价对象房地状况!C18</f>
        <v>0</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2772</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2773</v>
      </c>
      <c r="B51" s="2332" t="s">
        <v>2774</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2775</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2776</v>
      </c>
      <c r="B53" s="2333" t="s">
        <v>2777</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4">
      <c r="A54" s="2334" t="s">
        <v>2778</v>
      </c>
      <c r="B54" s="1492">
        <f>估价对象房地状况!C21</f>
        <v>0</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4">
      <c r="A55" s="2334" t="s">
        <v>2779</v>
      </c>
      <c r="B55" s="2331">
        <f>估价对象房地状况!C22</f>
        <v>0</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24.75" thickBot="1">
      <c r="A56" s="2335" t="s">
        <v>2780</v>
      </c>
      <c r="B56" s="2336">
        <f>估价对象房地状况!C20</f>
        <v>0</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2781</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2762</v>
      </c>
      <c r="B58" s="1533"/>
      <c r="C58" s="1533" t="s">
        <v>2764</v>
      </c>
      <c r="D58" s="1533" t="s">
        <v>2765</v>
      </c>
      <c r="E58" s="756" t="s">
        <v>2766</v>
      </c>
      <c r="F58" s="2328" t="s">
        <v>2782</v>
      </c>
      <c r="G58" s="1533" t="s">
        <v>754</v>
      </c>
      <c r="H58" s="2329" t="s">
        <v>2768</v>
      </c>
      <c r="I58" s="1533" t="s">
        <v>2769</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24">
      <c r="A59" s="2327" t="s">
        <v>2783</v>
      </c>
      <c r="B59" s="2330">
        <f>估价对象房地状况!C17</f>
        <v>0</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14.25">
      <c r="A60" s="2327" t="s">
        <v>2771</v>
      </c>
      <c r="B60" s="2331">
        <f>估价对象房地状况!C18</f>
        <v>0</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2772</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2773</v>
      </c>
      <c r="B62" s="2332" t="s">
        <v>2774</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2775</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2776</v>
      </c>
      <c r="B64" s="2333" t="s">
        <v>2777</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4">
      <c r="A65" s="2327" t="s">
        <v>2778</v>
      </c>
      <c r="B65" s="1492">
        <f>估价对象房地状况!C21</f>
        <v>0</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4">
      <c r="A66" s="2327" t="s">
        <v>2779</v>
      </c>
      <c r="B66" s="1492">
        <f>估价对象房地状况!C22</f>
        <v>0</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24.75" thickBot="1">
      <c r="A67" s="2335" t="s">
        <v>2780</v>
      </c>
      <c r="B67" s="2337">
        <f>估价对象房地状况!C20</f>
        <v>0</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2784</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2762</v>
      </c>
      <c r="B69" s="1533"/>
      <c r="C69" s="1533" t="s">
        <v>2764</v>
      </c>
      <c r="D69" s="1533" t="s">
        <v>2765</v>
      </c>
      <c r="E69" s="756" t="s">
        <v>2766</v>
      </c>
      <c r="F69" s="2328" t="s">
        <v>2782</v>
      </c>
      <c r="G69" s="1533" t="s">
        <v>754</v>
      </c>
      <c r="H69" s="2329" t="s">
        <v>2768</v>
      </c>
      <c r="I69" s="1533" t="s">
        <v>2769</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24">
      <c r="A70" s="2327" t="s">
        <v>2785</v>
      </c>
      <c r="B70" s="2330">
        <f>估价对象房地状况!C15</f>
        <v>0</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14.25">
      <c r="A71" s="2327" t="s">
        <v>2771</v>
      </c>
      <c r="B71" s="2331">
        <f>估价对象房地状况!C18</f>
        <v>0</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2772</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2786</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4">
      <c r="A74" s="2327" t="s">
        <v>2778</v>
      </c>
      <c r="B74" s="1492">
        <f>估价对象房地状况!C21</f>
        <v>0</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4">
      <c r="A75" s="2327" t="s">
        <v>2779</v>
      </c>
      <c r="B75" s="1492">
        <f>估价对象房地状况!C22</f>
        <v>0</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2776</v>
      </c>
      <c r="B76" s="2333" t="s">
        <v>2777</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24">
      <c r="A77" s="2327" t="s">
        <v>2780</v>
      </c>
      <c r="B77" s="2330">
        <f>估价对象房地状况!C20</f>
        <v>0</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2787</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2788</v>
      </c>
      <c r="B79" s="2324">
        <f>1+E81</f>
        <v>1</v>
      </c>
      <c r="C79" s="751"/>
      <c r="D79" s="751"/>
      <c r="E79" s="752"/>
      <c r="F79" s="2326"/>
      <c r="G79" s="6"/>
      <c r="H79" s="6"/>
      <c r="I79" s="6"/>
      <c r="J79" s="7"/>
      <c r="K79" s="7"/>
      <c r="L79" s="7"/>
      <c r="M79" s="7"/>
      <c r="N79" s="7"/>
      <c r="Z79" s="2182"/>
      <c r="AA79" s="2248"/>
      <c r="AG79" s="1280"/>
      <c r="AK79" s="2248"/>
    </row>
    <row r="80" spans="1:37" ht="24.75">
      <c r="A80" s="2327" t="s">
        <v>2762</v>
      </c>
      <c r="B80" s="1533"/>
      <c r="C80" s="1533" t="s">
        <v>2764</v>
      </c>
      <c r="D80" s="1533" t="s">
        <v>2765</v>
      </c>
      <c r="E80" s="756" t="s">
        <v>2766</v>
      </c>
      <c r="F80" s="2328" t="s">
        <v>2782</v>
      </c>
      <c r="G80" s="1533" t="s">
        <v>754</v>
      </c>
      <c r="H80" s="2329" t="s">
        <v>2768</v>
      </c>
      <c r="I80" s="1533" t="s">
        <v>2769</v>
      </c>
      <c r="J80" s="559" t="s">
        <v>2418</v>
      </c>
      <c r="K80" s="559" t="s">
        <v>2419</v>
      </c>
      <c r="L80" s="559" t="s">
        <v>2420</v>
      </c>
      <c r="M80" s="559" t="s">
        <v>2421</v>
      </c>
      <c r="N80" s="559" t="s">
        <v>2422</v>
      </c>
      <c r="Z80" s="2182"/>
      <c r="AA80" s="2248"/>
      <c r="AG80" s="1280"/>
      <c r="AK80" s="2248"/>
    </row>
    <row r="81" spans="1:37" ht="24">
      <c r="A81" s="2327" t="s">
        <v>2789</v>
      </c>
      <c r="B81" s="2331">
        <f>估价对象房地状况!G15</f>
        <v>0</v>
      </c>
      <c r="C81" s="2232"/>
      <c r="D81" s="1194">
        <f t="shared" ref="D81:D88" si="25">SUMIF($J$80:$N$80,C81,J81:N81)</f>
        <v>0</v>
      </c>
      <c r="E81" s="758">
        <f>ROUND(SUM(D81:D88),4)</f>
        <v>0</v>
      </c>
      <c r="F81" s="1998"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2"/>
      <c r="AA81" s="2248"/>
      <c r="AG81" s="1280"/>
      <c r="AK81" s="2248"/>
    </row>
    <row r="82" spans="1:37" ht="14.25">
      <c r="A82" s="2327" t="s">
        <v>2771</v>
      </c>
      <c r="B82" s="2331">
        <f>估价对象房地状况!G16</f>
        <v>0</v>
      </c>
      <c r="C82" s="2232"/>
      <c r="D82" s="1194">
        <f t="shared" si="25"/>
        <v>0</v>
      </c>
      <c r="E82" s="763"/>
      <c r="F82" s="1998"/>
      <c r="G82" s="1192"/>
      <c r="H82" s="1196" t="str">
        <f t="shared" si="26"/>
        <v>——</v>
      </c>
      <c r="I82" s="757">
        <v>0.33</v>
      </c>
      <c r="J82" s="1193">
        <f t="shared" si="27"/>
        <v>0</v>
      </c>
      <c r="K82" s="1193">
        <f t="shared" si="28"/>
        <v>0</v>
      </c>
      <c r="L82" s="1193">
        <v>0</v>
      </c>
      <c r="M82" s="1193">
        <f t="shared" si="29"/>
        <v>0</v>
      </c>
      <c r="N82" s="1193">
        <f t="shared" si="29"/>
        <v>0</v>
      </c>
      <c r="Z82" s="2182"/>
      <c r="AA82" s="2248"/>
      <c r="AG82" s="1280"/>
      <c r="AK82" s="2248"/>
    </row>
    <row r="83" spans="1:37" ht="24">
      <c r="A83" s="2327" t="s">
        <v>2772</v>
      </c>
      <c r="B83" s="2331">
        <f>估价对象房地状况!G17</f>
        <v>0</v>
      </c>
      <c r="C83" s="2232"/>
      <c r="D83" s="1194">
        <f t="shared" si="25"/>
        <v>0</v>
      </c>
      <c r="E83" s="763"/>
      <c r="F83" s="1998"/>
      <c r="G83" s="1192"/>
      <c r="H83" s="1196" t="str">
        <f t="shared" si="26"/>
        <v>——</v>
      </c>
      <c r="I83" s="757">
        <v>0.05</v>
      </c>
      <c r="J83" s="1193">
        <f t="shared" si="27"/>
        <v>0</v>
      </c>
      <c r="K83" s="1193">
        <f t="shared" si="28"/>
        <v>0</v>
      </c>
      <c r="L83" s="1193">
        <v>0</v>
      </c>
      <c r="M83" s="1193">
        <f t="shared" si="29"/>
        <v>0</v>
      </c>
      <c r="N83" s="1193">
        <f t="shared" si="29"/>
        <v>0</v>
      </c>
      <c r="Z83" s="2182"/>
      <c r="AA83" s="2248"/>
      <c r="AG83" s="1280"/>
      <c r="AK83" s="2248"/>
    </row>
    <row r="84" spans="1:37" ht="14.25">
      <c r="A84" s="2327" t="s">
        <v>2786</v>
      </c>
      <c r="B84" s="2331">
        <f>估价对象房地状况!G22</f>
        <v>0</v>
      </c>
      <c r="C84" s="2232"/>
      <c r="D84" s="1194">
        <f t="shared" si="25"/>
        <v>0</v>
      </c>
      <c r="E84" s="763"/>
      <c r="F84" s="1998"/>
      <c r="G84" s="1192"/>
      <c r="H84" s="1196" t="str">
        <f t="shared" si="26"/>
        <v>——</v>
      </c>
      <c r="I84" s="757">
        <v>0.04</v>
      </c>
      <c r="J84" s="1193">
        <f t="shared" si="27"/>
        <v>0</v>
      </c>
      <c r="K84" s="1193">
        <f t="shared" si="28"/>
        <v>0</v>
      </c>
      <c r="L84" s="1193">
        <v>0</v>
      </c>
      <c r="M84" s="1193">
        <f t="shared" si="29"/>
        <v>0</v>
      </c>
      <c r="N84" s="1193">
        <f t="shared" si="29"/>
        <v>0</v>
      </c>
      <c r="Z84" s="2182"/>
      <c r="AA84" s="2248"/>
      <c r="AG84" s="1280"/>
      <c r="AK84" s="2248"/>
    </row>
    <row r="85" spans="1:37" ht="24">
      <c r="A85" s="2327" t="s">
        <v>2778</v>
      </c>
      <c r="B85" s="1492">
        <f>估价对象房地状况!G19</f>
        <v>0</v>
      </c>
      <c r="C85" s="2232"/>
      <c r="D85" s="1194">
        <f t="shared" si="25"/>
        <v>0</v>
      </c>
      <c r="E85" s="763"/>
      <c r="F85" s="1998"/>
      <c r="G85" s="1192"/>
      <c r="H85" s="1196" t="str">
        <f t="shared" si="26"/>
        <v>——</v>
      </c>
      <c r="I85" s="757">
        <v>0.06</v>
      </c>
      <c r="J85" s="1193">
        <f t="shared" si="27"/>
        <v>0</v>
      </c>
      <c r="K85" s="1193">
        <f t="shared" si="28"/>
        <v>0</v>
      </c>
      <c r="L85" s="1193">
        <v>0</v>
      </c>
      <c r="M85" s="1193">
        <f t="shared" si="29"/>
        <v>0</v>
      </c>
      <c r="N85" s="1193">
        <f t="shared" si="29"/>
        <v>0</v>
      </c>
      <c r="Z85" s="2182"/>
      <c r="AA85" s="2248"/>
      <c r="AG85" s="1280"/>
      <c r="AK85" s="2248"/>
    </row>
    <row r="86" spans="1:37" ht="24">
      <c r="A86" s="2327" t="s">
        <v>2779</v>
      </c>
      <c r="B86" s="1492">
        <f>估价对象房地状况!G20</f>
        <v>0</v>
      </c>
      <c r="C86" s="2232"/>
      <c r="D86" s="1194">
        <f t="shared" si="25"/>
        <v>0</v>
      </c>
      <c r="E86" s="763"/>
      <c r="F86" s="1998"/>
      <c r="G86" s="1192"/>
      <c r="H86" s="1196" t="str">
        <f t="shared" si="26"/>
        <v>——</v>
      </c>
      <c r="I86" s="757">
        <v>0.15</v>
      </c>
      <c r="J86" s="1193">
        <f t="shared" si="27"/>
        <v>0</v>
      </c>
      <c r="K86" s="1193">
        <f t="shared" si="28"/>
        <v>0</v>
      </c>
      <c r="L86" s="1193">
        <v>0</v>
      </c>
      <c r="M86" s="1193">
        <f t="shared" si="29"/>
        <v>0</v>
      </c>
      <c r="N86" s="1193">
        <f t="shared" si="29"/>
        <v>0</v>
      </c>
      <c r="Z86" s="2182"/>
      <c r="AA86" s="2248"/>
      <c r="AG86" s="1280"/>
      <c r="AK86" s="2248"/>
    </row>
    <row r="87" spans="1:37" ht="24">
      <c r="A87" s="2327" t="s">
        <v>2776</v>
      </c>
      <c r="B87" s="2333" t="s">
        <v>2790</v>
      </c>
      <c r="C87" s="2232"/>
      <c r="D87" s="1194">
        <f t="shared" si="25"/>
        <v>0</v>
      </c>
      <c r="E87" s="763"/>
      <c r="F87" s="1998"/>
      <c r="G87" s="1192"/>
      <c r="H87" s="1196" t="str">
        <f t="shared" si="26"/>
        <v>——</v>
      </c>
      <c r="I87" s="757">
        <v>0.05</v>
      </c>
      <c r="J87" s="1193">
        <f t="shared" si="27"/>
        <v>0</v>
      </c>
      <c r="K87" s="1193">
        <f t="shared" si="28"/>
        <v>0</v>
      </c>
      <c r="L87" s="1193">
        <v>0</v>
      </c>
      <c r="M87" s="1193">
        <f t="shared" si="29"/>
        <v>0</v>
      </c>
      <c r="N87" s="1193">
        <f t="shared" si="29"/>
        <v>0</v>
      </c>
      <c r="Z87" s="2182"/>
      <c r="AA87" s="2248"/>
      <c r="AG87" s="1280"/>
      <c r="AK87" s="2248"/>
    </row>
    <row r="88" spans="1:37" ht="15" thickBot="1">
      <c r="A88" s="2335" t="s">
        <v>2791</v>
      </c>
      <c r="B88" s="2340">
        <f>估价对象房地状况!G18</f>
        <v>0</v>
      </c>
      <c r="C88" s="2232"/>
      <c r="D88" s="1194">
        <f t="shared" si="25"/>
        <v>0</v>
      </c>
      <c r="E88" s="764"/>
      <c r="F88" s="1998"/>
      <c r="G88" s="1192"/>
      <c r="H88" s="1196" t="str">
        <f t="shared" si="26"/>
        <v>——</v>
      </c>
      <c r="I88" s="761">
        <v>0.06</v>
      </c>
      <c r="J88" s="1193">
        <f t="shared" si="27"/>
        <v>0</v>
      </c>
      <c r="K88" s="1193">
        <f t="shared" si="28"/>
        <v>0</v>
      </c>
      <c r="L88" s="1193">
        <v>0</v>
      </c>
      <c r="M88" s="1193">
        <f t="shared" si="29"/>
        <v>0</v>
      </c>
      <c r="N88" s="1193">
        <f t="shared" si="29"/>
        <v>0</v>
      </c>
      <c r="Z88" s="2182"/>
      <c r="AA88" s="2248"/>
      <c r="AG88" s="1280"/>
      <c r="AK88" s="2248"/>
    </row>
    <row r="90" spans="1:37">
      <c r="A90" s="3361" t="s">
        <v>2792</v>
      </c>
      <c r="B90" s="3361"/>
      <c r="C90" s="3361"/>
      <c r="D90" s="3361"/>
      <c r="E90" s="3361"/>
      <c r="F90" s="3361"/>
      <c r="G90" s="3361"/>
      <c r="H90" s="3361"/>
      <c r="I90" s="3361"/>
      <c r="J90" s="3361"/>
      <c r="K90" s="2341"/>
      <c r="L90" s="2341"/>
      <c r="M90" s="2341"/>
      <c r="N90" s="2341"/>
    </row>
    <row r="91" spans="1:37">
      <c r="A91" s="3363" t="s">
        <v>2793</v>
      </c>
      <c r="B91" s="3363" t="s">
        <v>2794</v>
      </c>
      <c r="C91" s="2295" t="s">
        <v>2795</v>
      </c>
      <c r="D91" s="2296"/>
      <c r="E91" s="2296"/>
      <c r="F91" s="2296"/>
      <c r="G91" s="2296"/>
      <c r="H91" s="2296"/>
      <c r="I91" s="2296"/>
      <c r="J91" s="2342"/>
      <c r="K91" s="2343"/>
      <c r="L91" s="2343"/>
      <c r="M91" s="2343"/>
      <c r="N91" s="2343"/>
    </row>
    <row r="92" spans="1:37">
      <c r="A92" s="3363"/>
      <c r="B92" s="3363"/>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364"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65"/>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65"/>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65"/>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65"/>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65"/>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65"/>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66"/>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64" t="s">
        <v>2797</v>
      </c>
      <c r="B101" s="2348" t="s">
        <v>2798</v>
      </c>
      <c r="C101" s="2349">
        <f>$G$3</f>
        <v>1.66</v>
      </c>
      <c r="D101" s="2349">
        <f t="shared" ref="D101:N101" si="31">$G$3</f>
        <v>1.66</v>
      </c>
      <c r="E101" s="2349">
        <f t="shared" si="31"/>
        <v>1.66</v>
      </c>
      <c r="F101" s="2349">
        <f t="shared" si="31"/>
        <v>1.66</v>
      </c>
      <c r="G101" s="2349">
        <f t="shared" si="31"/>
        <v>1.66</v>
      </c>
      <c r="H101" s="2349">
        <f t="shared" si="31"/>
        <v>1.66</v>
      </c>
      <c r="I101" s="2349">
        <f t="shared" si="31"/>
        <v>1.66</v>
      </c>
      <c r="J101" s="2349">
        <f t="shared" si="31"/>
        <v>1.66</v>
      </c>
      <c r="K101" s="2349">
        <f t="shared" si="31"/>
        <v>1.66</v>
      </c>
      <c r="L101" s="2349">
        <f t="shared" si="31"/>
        <v>1.66</v>
      </c>
      <c r="M101" s="2349">
        <f t="shared" si="31"/>
        <v>1.66</v>
      </c>
      <c r="N101" s="2349">
        <f t="shared" si="31"/>
        <v>1.66</v>
      </c>
    </row>
    <row r="102" spans="1:14">
      <c r="A102" s="3365"/>
      <c r="B102" s="2344">
        <v>1</v>
      </c>
      <c r="C102" s="2345">
        <f>1.9362/C101</f>
        <v>1.1663855421686746</v>
      </c>
      <c r="D102" s="2345">
        <f>1.9362/D101</f>
        <v>1.1663855421686746</v>
      </c>
      <c r="E102" s="2345">
        <f>1.8629/E101</f>
        <v>1.1222289156626506</v>
      </c>
      <c r="F102" s="2345">
        <f>1.8629/F101</f>
        <v>1.1222289156626506</v>
      </c>
      <c r="G102" s="2345">
        <f>1.8629/G101</f>
        <v>1.1222289156626506</v>
      </c>
      <c r="H102" s="2345">
        <f>1.8629/H101</f>
        <v>1.1222289156626506</v>
      </c>
      <c r="I102" s="2345">
        <f>1.8629/I101</f>
        <v>1.1222289156626506</v>
      </c>
      <c r="J102" s="2345">
        <f>1.942/J101</f>
        <v>1.1698795180722892</v>
      </c>
      <c r="K102" s="2345">
        <f>1.942/K101</f>
        <v>1.1698795180722892</v>
      </c>
      <c r="L102" s="2345">
        <f>1.942/L101</f>
        <v>1.1698795180722892</v>
      </c>
      <c r="M102" s="2345">
        <f>1.942/M101</f>
        <v>1.1698795180722892</v>
      </c>
      <c r="N102" s="2345">
        <f>1.942/N101</f>
        <v>1.1698795180722892</v>
      </c>
    </row>
    <row r="103" spans="1:14">
      <c r="A103" s="3365"/>
      <c r="B103" s="2344">
        <v>2</v>
      </c>
      <c r="C103" s="2345">
        <f>1.4198/C101</f>
        <v>0.85530120481927707</v>
      </c>
      <c r="D103" s="2345">
        <f>1.4198/D101</f>
        <v>0.85530120481927707</v>
      </c>
      <c r="E103" s="2345">
        <f>1.3372/E101</f>
        <v>0.80554216867469886</v>
      </c>
      <c r="F103" s="2345">
        <f>1.3372/F101</f>
        <v>0.80554216867469886</v>
      </c>
      <c r="G103" s="2345">
        <f>1.3372/G101</f>
        <v>0.80554216867469886</v>
      </c>
      <c r="H103" s="2345">
        <f>1.3372/H101</f>
        <v>0.80554216867469886</v>
      </c>
      <c r="I103" s="2345">
        <f>1.3372/I101</f>
        <v>0.80554216867469886</v>
      </c>
      <c r="J103" s="2345">
        <f>1.2799/J101</f>
        <v>0.77102409638554226</v>
      </c>
      <c r="K103" s="2345">
        <f>1.2799/K101</f>
        <v>0.77102409638554226</v>
      </c>
      <c r="L103" s="2345">
        <f>1.2799/L101</f>
        <v>0.77102409638554226</v>
      </c>
      <c r="M103" s="2345">
        <f>1.2799/M101</f>
        <v>0.77102409638554226</v>
      </c>
      <c r="N103" s="2345">
        <f>1.2799/N101</f>
        <v>0.77102409638554226</v>
      </c>
    </row>
    <row r="104" spans="1:14">
      <c r="A104" s="3365"/>
      <c r="B104" s="2344">
        <v>3</v>
      </c>
      <c r="C104" s="2345">
        <f>1.1594/C101</f>
        <v>0.69843373493975902</v>
      </c>
      <c r="D104" s="2345">
        <f>1.1594/D101</f>
        <v>0.69843373493975902</v>
      </c>
      <c r="E104" s="2345">
        <f>1.0788/E101</f>
        <v>0.64987951807228916</v>
      </c>
      <c r="F104" s="2345">
        <f>1.0788/F101</f>
        <v>0.64987951807228916</v>
      </c>
      <c r="G104" s="2345">
        <f>1.0788/G101</f>
        <v>0.64987951807228916</v>
      </c>
      <c r="H104" s="2345">
        <f>1.0788/H101</f>
        <v>0.64987951807228916</v>
      </c>
      <c r="I104" s="2345">
        <f>1.0788/I101</f>
        <v>0.64987951807228916</v>
      </c>
      <c r="J104" s="2345">
        <f>1.0072/J101</f>
        <v>0.60674698795180737</v>
      </c>
      <c r="K104" s="2345">
        <f>1.0072/K101</f>
        <v>0.60674698795180737</v>
      </c>
      <c r="L104" s="2345">
        <f>1.0072/L101</f>
        <v>0.60674698795180737</v>
      </c>
      <c r="M104" s="2345">
        <f>1.0072/M101</f>
        <v>0.60674698795180737</v>
      </c>
      <c r="N104" s="2345">
        <f>1.0072/N101</f>
        <v>0.60674698795180737</v>
      </c>
    </row>
    <row r="105" spans="1:14">
      <c r="A105" s="3365"/>
      <c r="B105" s="2344">
        <v>4</v>
      </c>
      <c r="C105" s="2345">
        <f>0.9622/C101</f>
        <v>0.5796385542168675</v>
      </c>
      <c r="D105" s="2345">
        <f>0.9622/D101</f>
        <v>0.5796385542168675</v>
      </c>
      <c r="E105" s="2345">
        <f>0.8656/E101</f>
        <v>0.52144578313253021</v>
      </c>
      <c r="F105" s="2345">
        <f>0.8656/F101</f>
        <v>0.52144578313253021</v>
      </c>
      <c r="G105" s="2345">
        <f>0.8656/G101</f>
        <v>0.52144578313253021</v>
      </c>
      <c r="H105" s="2345">
        <f>0.8656/H101</f>
        <v>0.52144578313253021</v>
      </c>
      <c r="I105" s="2345">
        <f>0.8656/I101</f>
        <v>0.52144578313253021</v>
      </c>
      <c r="J105" s="2345">
        <f>0.7525/J101</f>
        <v>0.45331325301204817</v>
      </c>
      <c r="K105" s="2345">
        <f>0.7525/K101</f>
        <v>0.45331325301204817</v>
      </c>
      <c r="L105" s="2345">
        <f>0.7525/L101</f>
        <v>0.45331325301204817</v>
      </c>
      <c r="M105" s="2345">
        <f>0.7525/M101</f>
        <v>0.45331325301204817</v>
      </c>
      <c r="N105" s="2345">
        <f>0.7525/N101</f>
        <v>0.45331325301204817</v>
      </c>
    </row>
    <row r="106" spans="1:14">
      <c r="A106" s="3365"/>
      <c r="B106" s="2344">
        <v>5</v>
      </c>
      <c r="C106" s="2345">
        <f>0.8417/C101</f>
        <v>0.50704819277108437</v>
      </c>
      <c r="D106" s="2345">
        <f>0.8417/D101</f>
        <v>0.50704819277108437</v>
      </c>
      <c r="E106" s="2345">
        <f>0.7371/E101</f>
        <v>0.44403614457831325</v>
      </c>
      <c r="F106" s="2345">
        <f>0.7371/F101</f>
        <v>0.44403614457831325</v>
      </c>
      <c r="G106" s="2345">
        <f>0.7371/G101</f>
        <v>0.44403614457831325</v>
      </c>
      <c r="H106" s="2345">
        <f>0.7371/H101</f>
        <v>0.44403614457831325</v>
      </c>
      <c r="I106" s="2345">
        <f>0.7371/I101</f>
        <v>0.44403614457831325</v>
      </c>
      <c r="J106" s="2345">
        <f>0.5659/J101</f>
        <v>0.34090361445783129</v>
      </c>
      <c r="K106" s="2345">
        <f>0.5659/K101</f>
        <v>0.34090361445783129</v>
      </c>
      <c r="L106" s="2345">
        <f>0.5659/L101</f>
        <v>0.34090361445783129</v>
      </c>
      <c r="M106" s="2345">
        <f>0.5659/M101</f>
        <v>0.34090361445783129</v>
      </c>
      <c r="N106" s="2345">
        <f>0.5659/N101</f>
        <v>0.34090361445783129</v>
      </c>
    </row>
    <row r="107" spans="1:14">
      <c r="A107" s="3365"/>
      <c r="B107" s="2344">
        <v>6</v>
      </c>
      <c r="C107" s="2345">
        <f>0.7608/C101</f>
        <v>0.45831325301204823</v>
      </c>
      <c r="D107" s="2345">
        <f>0.7608/D101</f>
        <v>0.45831325301204823</v>
      </c>
      <c r="E107" s="2345">
        <f>0.6482/E101</f>
        <v>0.39048192771084339</v>
      </c>
      <c r="F107" s="2345">
        <f>0.6482/F101</f>
        <v>0.39048192771084339</v>
      </c>
      <c r="G107" s="2345">
        <f>0.6482/G101</f>
        <v>0.39048192771084339</v>
      </c>
      <c r="H107" s="2345">
        <f>0.6482/H101</f>
        <v>0.39048192771084339</v>
      </c>
      <c r="I107" s="2345">
        <f>0.6482/I101</f>
        <v>0.39048192771084339</v>
      </c>
      <c r="J107" s="2345">
        <f>0.4525/J101</f>
        <v>0.27259036144578314</v>
      </c>
      <c r="K107" s="2345">
        <f>0.4525/K101</f>
        <v>0.27259036144578314</v>
      </c>
      <c r="L107" s="2345">
        <f>0.4525/L101</f>
        <v>0.27259036144578314</v>
      </c>
      <c r="M107" s="2345">
        <f>0.4525/M101</f>
        <v>0.27259036144578314</v>
      </c>
      <c r="N107" s="2345">
        <f>0.4525/N101</f>
        <v>0.27259036144578314</v>
      </c>
    </row>
    <row r="108" spans="1:14">
      <c r="A108" s="3365"/>
      <c r="B108" s="3367"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66"/>
      <c r="B109" s="3368"/>
      <c r="C109" s="2347">
        <f>(-0.163*(C108^2)-0.59*C108+7617)*(10^(-4))/C101</f>
        <v>0.45885542168674703</v>
      </c>
      <c r="D109" s="2347">
        <f>(-0.163*(D108^2)-0.59*D108+7617)*(10^(-4))/D101</f>
        <v>0.45885542168674703</v>
      </c>
      <c r="E109" s="2347">
        <f>(-0.161*(E108^2)-7.509*E108+6533)*(10^(-4))/E101</f>
        <v>0.39355421686746989</v>
      </c>
      <c r="F109" s="2347">
        <f>(-0.161*(F108^2)-7.509*F108+6533)*(10^(-4))/F101</f>
        <v>0.39355421686746989</v>
      </c>
      <c r="G109" s="2347">
        <f>(-0.161*(G108^2)-7.509*G108+6533)*(10^(-4))/G101</f>
        <v>0.39355421686746989</v>
      </c>
      <c r="H109" s="2347">
        <f>(-0.161*(H108^2)-7.509*H108+6533)*(10^(-4))/H101</f>
        <v>0.39355421686746989</v>
      </c>
      <c r="I109" s="2347">
        <f>(-0.161*(I108^2)-7.509*I108+6533)*(10^(-4))/I101</f>
        <v>0.39355421686746989</v>
      </c>
      <c r="J109" s="2347">
        <f>(-0.214*(J108^2)-21.991*J108+4665)*(10^(-4))/J101</f>
        <v>0.28102409638554221</v>
      </c>
      <c r="K109" s="2347">
        <f>(-0.214*(K108^2)-21.991*K108+4665)*(10^(-4))/K101</f>
        <v>0.28102409638554221</v>
      </c>
      <c r="L109" s="2347">
        <f>(-0.214*(L108^2)-21.991*L108+4665)*(10^(-4))/L101</f>
        <v>0.28102409638554221</v>
      </c>
      <c r="M109" s="2347">
        <f>(-0.214*(M108^2)-21.991*M108+4665)*(10^(-4))/M101</f>
        <v>0.28102409638554221</v>
      </c>
      <c r="N109" s="2347">
        <f>(-0.214*(N108^2)-21.991*N108+4665)*(10^(-4))/N101</f>
        <v>0.28102409638554221</v>
      </c>
    </row>
    <row r="110" spans="1:14">
      <c r="A110" s="3362" t="s">
        <v>2800</v>
      </c>
      <c r="B110" s="3362"/>
      <c r="C110" s="3362"/>
      <c r="D110" s="3362"/>
      <c r="E110" s="3362"/>
      <c r="F110" s="3362"/>
      <c r="G110" s="3362"/>
      <c r="H110" s="3362"/>
      <c r="I110" s="3362"/>
      <c r="J110" s="3362"/>
      <c r="K110" s="2350"/>
      <c r="L110" s="2350"/>
      <c r="M110" s="2350"/>
      <c r="N110" s="2350"/>
    </row>
    <row r="112" spans="1:14" ht="13.5" thickBot="1"/>
    <row r="113" spans="1:13" ht="25.5" thickBot="1">
      <c r="A113" s="840" t="s">
        <v>2801</v>
      </c>
      <c r="B113" s="1195">
        <f>G3</f>
        <v>1.66</v>
      </c>
      <c r="C113" s="841" t="s">
        <v>2802</v>
      </c>
      <c r="D113" s="842">
        <f>SUMPRODUCT((A115:A118=F113)*(B114:M114=H113)*B115:M118)</f>
        <v>0</v>
      </c>
      <c r="E113" s="2186" t="s">
        <v>2635</v>
      </c>
      <c r="F113" s="2352">
        <f>E2</f>
        <v>0</v>
      </c>
      <c r="G113" s="2186" t="s">
        <v>2636</v>
      </c>
      <c r="H113" s="2352">
        <f>G2</f>
        <v>0</v>
      </c>
      <c r="I113" s="2186"/>
      <c r="J113" s="2353"/>
      <c r="K113" s="2353"/>
      <c r="L113" s="2353"/>
      <c r="M113" s="2353"/>
    </row>
    <row r="114" spans="1:13">
      <c r="A114" s="845"/>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6" t="s">
        <v>2700</v>
      </c>
      <c r="B115" s="847">
        <f>ROUND(0.9335-0.0094*B113,4)</f>
        <v>0.91790000000000005</v>
      </c>
      <c r="C115" s="847">
        <f>B115</f>
        <v>0.91790000000000005</v>
      </c>
      <c r="D115" s="847">
        <f>ROUND(0.8331-0.0109*B113,4)</f>
        <v>0.81499999999999995</v>
      </c>
      <c r="E115" s="847">
        <f>D115</f>
        <v>0.81499999999999995</v>
      </c>
      <c r="F115" s="847">
        <f>E115</f>
        <v>0.81499999999999995</v>
      </c>
      <c r="G115" s="847">
        <f>F115</f>
        <v>0.81499999999999995</v>
      </c>
      <c r="H115" s="847">
        <f>G115</f>
        <v>0.81499999999999995</v>
      </c>
      <c r="I115" s="847">
        <f>ROUND(0.689-0.0155*B113,4)</f>
        <v>0.6633</v>
      </c>
      <c r="J115" s="847">
        <f t="shared" ref="J115:M118" si="33">I115</f>
        <v>0.6633</v>
      </c>
      <c r="K115" s="847">
        <f t="shared" si="33"/>
        <v>0.6633</v>
      </c>
      <c r="L115" s="847">
        <f t="shared" si="33"/>
        <v>0.6633</v>
      </c>
      <c r="M115" s="848">
        <f t="shared" si="33"/>
        <v>0.6633</v>
      </c>
    </row>
    <row r="116" spans="1:13">
      <c r="A116" s="846" t="s">
        <v>2701</v>
      </c>
      <c r="B116" s="847">
        <f>ROUND(0.949-0.012*B113,4)</f>
        <v>0.92910000000000004</v>
      </c>
      <c r="C116" s="847">
        <f>B116</f>
        <v>0.92910000000000004</v>
      </c>
      <c r="D116" s="847">
        <f>ROUND(0.8567-0.013*B113,4)</f>
        <v>0.83509999999999995</v>
      </c>
      <c r="E116" s="847">
        <f t="shared" ref="E116:H117" si="34">D116</f>
        <v>0.83509999999999995</v>
      </c>
      <c r="F116" s="847">
        <f t="shared" si="34"/>
        <v>0.83509999999999995</v>
      </c>
      <c r="G116" s="847">
        <f t="shared" si="34"/>
        <v>0.83509999999999995</v>
      </c>
      <c r="H116" s="847">
        <f t="shared" si="34"/>
        <v>0.83509999999999995</v>
      </c>
      <c r="I116" s="847">
        <f>ROUND(0.7694-0.014*B113,4)</f>
        <v>0.74619999999999997</v>
      </c>
      <c r="J116" s="847">
        <f t="shared" si="33"/>
        <v>0.74619999999999997</v>
      </c>
      <c r="K116" s="847">
        <f t="shared" si="33"/>
        <v>0.74619999999999997</v>
      </c>
      <c r="L116" s="847">
        <f t="shared" si="33"/>
        <v>0.74619999999999997</v>
      </c>
      <c r="M116" s="848">
        <f t="shared" si="33"/>
        <v>0.74619999999999997</v>
      </c>
    </row>
    <row r="117" spans="1:13">
      <c r="A117" s="846" t="s">
        <v>2702</v>
      </c>
      <c r="B117" s="847">
        <f>ROUND(0.8808-0.006*B113,4)</f>
        <v>0.87080000000000002</v>
      </c>
      <c r="C117" s="847">
        <f>B117</f>
        <v>0.87080000000000002</v>
      </c>
      <c r="D117" s="847">
        <f>ROUND(0.8748-0.008*B113,4)</f>
        <v>0.86150000000000004</v>
      </c>
      <c r="E117" s="847">
        <f t="shared" si="34"/>
        <v>0.86150000000000004</v>
      </c>
      <c r="F117" s="847">
        <f t="shared" si="34"/>
        <v>0.86150000000000004</v>
      </c>
      <c r="G117" s="847">
        <f t="shared" si="34"/>
        <v>0.86150000000000004</v>
      </c>
      <c r="H117" s="847">
        <f t="shared" si="34"/>
        <v>0.86150000000000004</v>
      </c>
      <c r="I117" s="847">
        <f>ROUND(0.7412-0.0095*B113,4)</f>
        <v>0.72540000000000004</v>
      </c>
      <c r="J117" s="847">
        <f t="shared" si="33"/>
        <v>0.72540000000000004</v>
      </c>
      <c r="K117" s="847">
        <f t="shared" si="33"/>
        <v>0.72540000000000004</v>
      </c>
      <c r="L117" s="847">
        <f t="shared" si="33"/>
        <v>0.72540000000000004</v>
      </c>
      <c r="M117" s="848">
        <f t="shared" si="33"/>
        <v>0.72540000000000004</v>
      </c>
    </row>
    <row r="118" spans="1:13" ht="13.5" thickBot="1">
      <c r="A118" s="668" t="s">
        <v>2703</v>
      </c>
      <c r="B118" s="849">
        <f>ROUND(0.7275-0.01*B113,4)</f>
        <v>0.71089999999999998</v>
      </c>
      <c r="C118" s="849">
        <f>B118</f>
        <v>0.71089999999999998</v>
      </c>
      <c r="D118" s="849">
        <f>ROUND(0.7043-0.012*B113,4)</f>
        <v>0.68440000000000001</v>
      </c>
      <c r="E118" s="849">
        <f>D118</f>
        <v>0.68440000000000001</v>
      </c>
      <c r="F118" s="849">
        <f>E118</f>
        <v>0.68440000000000001</v>
      </c>
      <c r="G118" s="849">
        <f>ROUND(0.6299-0.0122*B113,4)</f>
        <v>0.60960000000000003</v>
      </c>
      <c r="H118" s="849">
        <f>G118</f>
        <v>0.60960000000000003</v>
      </c>
      <c r="I118" s="849">
        <f>ROUND(0.5667-0.0136*B113,4)</f>
        <v>0.54410000000000003</v>
      </c>
      <c r="J118" s="849">
        <f t="shared" si="33"/>
        <v>0.54410000000000003</v>
      </c>
      <c r="K118" s="849">
        <f t="shared" si="33"/>
        <v>0.54410000000000003</v>
      </c>
      <c r="L118" s="849">
        <f t="shared" si="33"/>
        <v>0.54410000000000003</v>
      </c>
      <c r="M118" s="850">
        <f t="shared" si="33"/>
        <v>0.54410000000000003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2865</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85" t="s">
        <v>183</v>
      </c>
      <c r="B18" s="819" t="s">
        <v>560</v>
      </c>
      <c r="C18" s="820" t="s">
        <v>561</v>
      </c>
      <c r="D18" s="821"/>
      <c r="E18" s="819">
        <v>1</v>
      </c>
      <c r="F18" s="822" t="s">
        <v>562</v>
      </c>
      <c r="G18" s="823"/>
      <c r="H18" s="815"/>
      <c r="I18" s="815"/>
    </row>
    <row r="19" spans="1:9" s="824" customFormat="1" ht="19.5" customHeight="1">
      <c r="A19" s="3385"/>
      <c r="B19" s="3385" t="s">
        <v>563</v>
      </c>
      <c r="C19" s="820" t="s">
        <v>564</v>
      </c>
      <c r="D19" s="821"/>
      <c r="E19" s="819">
        <v>0.9</v>
      </c>
      <c r="F19" s="822" t="s">
        <v>565</v>
      </c>
      <c r="G19" s="823"/>
      <c r="H19" s="815"/>
      <c r="I19" s="815"/>
    </row>
    <row r="20" spans="1:9" s="824" customFormat="1" ht="19.5" customHeight="1">
      <c r="A20" s="3385"/>
      <c r="B20" s="3385"/>
      <c r="C20" s="820" t="s">
        <v>566</v>
      </c>
      <c r="D20" s="821"/>
      <c r="E20" s="819">
        <v>1.1000000000000001</v>
      </c>
      <c r="F20" s="822" t="s">
        <v>567</v>
      </c>
      <c r="G20" s="823"/>
      <c r="H20" s="815"/>
      <c r="I20" s="815"/>
    </row>
    <row r="21" spans="1:9" s="824" customFormat="1" ht="19.5" customHeight="1">
      <c r="A21" s="3385"/>
      <c r="B21" s="3385"/>
      <c r="C21" s="820" t="s">
        <v>568</v>
      </c>
      <c r="D21" s="821"/>
      <c r="E21" s="819">
        <v>0.8</v>
      </c>
      <c r="F21" s="822" t="s">
        <v>569</v>
      </c>
      <c r="G21" s="823"/>
      <c r="H21" s="815"/>
      <c r="I21" s="815"/>
    </row>
    <row r="22" spans="1:9" s="824" customFormat="1" ht="19.5" customHeight="1">
      <c r="A22" s="3385"/>
      <c r="B22" s="3385"/>
      <c r="C22" s="820" t="s">
        <v>570</v>
      </c>
      <c r="D22" s="821"/>
      <c r="E22" s="819">
        <v>0.5</v>
      </c>
      <c r="F22" s="822"/>
      <c r="G22" s="823"/>
      <c r="H22" s="815"/>
      <c r="I22" s="815"/>
    </row>
    <row r="23" spans="1:9" s="824" customFormat="1" ht="19.5" customHeight="1">
      <c r="A23" s="3385" t="s">
        <v>184</v>
      </c>
      <c r="B23" s="819" t="s">
        <v>560</v>
      </c>
      <c r="C23" s="820" t="s">
        <v>571</v>
      </c>
      <c r="D23" s="821"/>
      <c r="E23" s="819">
        <v>1</v>
      </c>
      <c r="F23" s="822" t="s">
        <v>572</v>
      </c>
      <c r="G23" s="823"/>
      <c r="H23" s="815"/>
      <c r="I23" s="815"/>
    </row>
    <row r="24" spans="1:9" s="824" customFormat="1" ht="19.5" customHeight="1">
      <c r="A24" s="3385"/>
      <c r="B24" s="3385" t="s">
        <v>563</v>
      </c>
      <c r="C24" s="820" t="s">
        <v>573</v>
      </c>
      <c r="D24" s="821"/>
      <c r="E24" s="819">
        <v>0.5</v>
      </c>
      <c r="F24" s="822"/>
      <c r="G24" s="823"/>
      <c r="H24" s="815"/>
      <c r="I24" s="815"/>
    </row>
    <row r="25" spans="1:9" s="824" customFormat="1" ht="19.5" customHeight="1">
      <c r="A25" s="3385"/>
      <c r="B25" s="3385"/>
      <c r="C25" s="820" t="s">
        <v>574</v>
      </c>
      <c r="D25" s="821"/>
      <c r="E25" s="819">
        <v>1.1000000000000001</v>
      </c>
      <c r="F25" s="822"/>
      <c r="G25" s="823"/>
      <c r="H25" s="815"/>
      <c r="I25" s="815"/>
    </row>
    <row r="26" spans="1:9" s="824" customFormat="1" ht="19.5" customHeight="1">
      <c r="A26" s="3385"/>
      <c r="B26" s="3385"/>
      <c r="C26" s="820" t="s">
        <v>575</v>
      </c>
      <c r="D26" s="821"/>
      <c r="E26" s="819">
        <v>1.1000000000000001</v>
      </c>
      <c r="F26" s="822"/>
      <c r="G26" s="823"/>
      <c r="H26" s="815"/>
      <c r="I26" s="815"/>
    </row>
    <row r="27" spans="1:9" s="824" customFormat="1" ht="19.5" customHeight="1">
      <c r="A27" s="3385"/>
      <c r="B27" s="3385"/>
      <c r="C27" s="820" t="s">
        <v>576</v>
      </c>
      <c r="D27" s="821"/>
      <c r="E27" s="819">
        <v>0.9</v>
      </c>
      <c r="F27" s="822" t="s">
        <v>577</v>
      </c>
      <c r="G27" s="823"/>
      <c r="H27" s="815"/>
      <c r="I27" s="815"/>
    </row>
    <row r="28" spans="1:9" s="824" customFormat="1" ht="19.5" customHeight="1">
      <c r="A28" s="3385"/>
      <c r="B28" s="3385"/>
      <c r="C28" s="820" t="s">
        <v>578</v>
      </c>
      <c r="D28" s="821"/>
      <c r="E28" s="819">
        <v>0.9</v>
      </c>
      <c r="F28" s="822" t="s">
        <v>579</v>
      </c>
      <c r="G28" s="823"/>
      <c r="H28" s="815"/>
      <c r="I28" s="815"/>
    </row>
    <row r="29" spans="1:9" s="824" customFormat="1" ht="19.5" customHeight="1">
      <c r="A29" s="3385"/>
      <c r="B29" s="3385"/>
      <c r="C29" s="820" t="s">
        <v>580</v>
      </c>
      <c r="D29" s="821"/>
      <c r="E29" s="819">
        <v>0.9</v>
      </c>
      <c r="F29" s="822" t="s">
        <v>581</v>
      </c>
      <c r="G29" s="823"/>
      <c r="H29" s="815"/>
      <c r="I29" s="815"/>
    </row>
    <row r="30" spans="1:9" s="824" customFormat="1" ht="19.5" customHeight="1">
      <c r="A30" s="3385"/>
      <c r="B30" s="3385"/>
      <c r="C30" s="820" t="s">
        <v>582</v>
      </c>
      <c r="D30" s="821"/>
      <c r="E30" s="819">
        <v>0.9</v>
      </c>
      <c r="F30" s="822" t="s">
        <v>583</v>
      </c>
      <c r="G30" s="823"/>
      <c r="H30" s="815"/>
      <c r="I30" s="815"/>
    </row>
    <row r="31" spans="1:9" s="824" customFormat="1" ht="19.5" customHeight="1">
      <c r="A31" s="3385"/>
      <c r="B31" s="3385"/>
      <c r="C31" s="820" t="s">
        <v>584</v>
      </c>
      <c r="D31" s="821"/>
      <c r="E31" s="819">
        <v>0.8</v>
      </c>
      <c r="F31" s="822" t="s">
        <v>585</v>
      </c>
      <c r="G31" s="823"/>
      <c r="H31" s="815"/>
      <c r="I31" s="815"/>
    </row>
    <row r="32" spans="1:9" s="824" customFormat="1" ht="19.5" customHeight="1">
      <c r="A32" s="3385"/>
      <c r="B32" s="3385"/>
      <c r="C32" s="820" t="s">
        <v>586</v>
      </c>
      <c r="D32" s="821"/>
      <c r="E32" s="819">
        <v>0.8</v>
      </c>
      <c r="F32" s="822" t="s">
        <v>587</v>
      </c>
      <c r="G32" s="823"/>
      <c r="H32" s="815"/>
      <c r="I32" s="815"/>
    </row>
    <row r="33" spans="1:9" s="824" customFormat="1" ht="19.5" customHeight="1">
      <c r="A33" s="3385" t="s">
        <v>185</v>
      </c>
      <c r="B33" s="819" t="s">
        <v>560</v>
      </c>
      <c r="C33" s="820" t="s">
        <v>588</v>
      </c>
      <c r="D33" s="821"/>
      <c r="E33" s="819">
        <v>1</v>
      </c>
      <c r="F33" s="822" t="s">
        <v>589</v>
      </c>
      <c r="G33" s="823"/>
      <c r="H33" s="815"/>
      <c r="I33" s="815"/>
    </row>
    <row r="34" spans="1:9" s="824" customFormat="1" ht="19.5" customHeight="1">
      <c r="A34" s="3385"/>
      <c r="B34" s="819" t="s">
        <v>563</v>
      </c>
      <c r="C34" s="820" t="s">
        <v>590</v>
      </c>
      <c r="D34" s="821"/>
      <c r="E34" s="819">
        <v>1.5</v>
      </c>
      <c r="F34" s="822" t="s">
        <v>591</v>
      </c>
      <c r="G34" s="823"/>
      <c r="H34" s="815"/>
      <c r="I34" s="815"/>
    </row>
    <row r="35" spans="1:9" s="824" customFormat="1" ht="19.5" customHeight="1">
      <c r="A35" s="3385" t="s">
        <v>186</v>
      </c>
      <c r="B35" s="819" t="s">
        <v>560</v>
      </c>
      <c r="C35" s="820" t="s">
        <v>592</v>
      </c>
      <c r="D35" s="821"/>
      <c r="E35" s="819">
        <v>1</v>
      </c>
      <c r="F35" s="822" t="s">
        <v>593</v>
      </c>
      <c r="G35" s="823"/>
      <c r="H35" s="815"/>
      <c r="I35" s="815"/>
    </row>
    <row r="36" spans="1:9" s="824" customFormat="1" ht="19.5" customHeight="1">
      <c r="A36" s="3385"/>
      <c r="B36" s="3385" t="s">
        <v>563</v>
      </c>
      <c r="C36" s="820" t="s">
        <v>594</v>
      </c>
      <c r="D36" s="821"/>
      <c r="E36" s="819">
        <v>1</v>
      </c>
      <c r="F36" s="822" t="s">
        <v>595</v>
      </c>
      <c r="G36" s="823"/>
      <c r="H36" s="815"/>
      <c r="I36" s="815"/>
    </row>
    <row r="37" spans="1:9" s="824" customFormat="1" ht="19.5" customHeight="1">
      <c r="A37" s="3385"/>
      <c r="B37" s="3385"/>
      <c r="C37" s="820" t="s">
        <v>596</v>
      </c>
      <c r="D37" s="821"/>
      <c r="E37" s="819">
        <v>1.5</v>
      </c>
      <c r="F37" s="822" t="s">
        <v>597</v>
      </c>
      <c r="G37" s="823"/>
      <c r="H37" s="815"/>
      <c r="I37" s="815"/>
    </row>
    <row r="38" spans="1:9" s="824" customFormat="1" ht="19.5" customHeight="1">
      <c r="A38" s="3385"/>
      <c r="B38" s="3385"/>
      <c r="C38" s="820" t="s">
        <v>598</v>
      </c>
      <c r="D38" s="821"/>
      <c r="E38" s="819">
        <v>1</v>
      </c>
      <c r="F38" s="822" t="s">
        <v>599</v>
      </c>
      <c r="G38" s="823"/>
      <c r="H38" s="815"/>
      <c r="I38" s="815"/>
    </row>
    <row r="39" spans="1:9" s="824" customFormat="1" ht="19.5" customHeight="1">
      <c r="A39" s="3385"/>
      <c r="B39" s="338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85" t="s">
        <v>614</v>
      </c>
      <c r="C61" s="755" t="s">
        <v>615</v>
      </c>
      <c r="D61" s="755" t="s">
        <v>616</v>
      </c>
      <c r="E61" s="832">
        <v>0.5</v>
      </c>
      <c r="F61" s="819">
        <v>80</v>
      </c>
    </row>
    <row r="62" spans="1:8" s="815" customFormat="1" ht="24">
      <c r="A62" s="819">
        <v>2</v>
      </c>
      <c r="B62" s="3385"/>
      <c r="C62" s="755" t="s">
        <v>617</v>
      </c>
      <c r="D62" s="755" t="s">
        <v>618</v>
      </c>
      <c r="E62" s="832">
        <v>0.5</v>
      </c>
      <c r="F62" s="819">
        <v>80</v>
      </c>
    </row>
    <row r="63" spans="1:8" s="815" customFormat="1" ht="36">
      <c r="A63" s="819">
        <v>3</v>
      </c>
      <c r="B63" s="3385"/>
      <c r="C63" s="755" t="s">
        <v>619</v>
      </c>
      <c r="D63" s="755" t="s">
        <v>620</v>
      </c>
      <c r="E63" s="832">
        <v>0.5</v>
      </c>
      <c r="F63" s="819">
        <v>80</v>
      </c>
    </row>
    <row r="64" spans="1:8" s="815" customFormat="1" ht="36">
      <c r="A64" s="819">
        <v>4</v>
      </c>
      <c r="B64" s="3385"/>
      <c r="C64" s="755" t="s">
        <v>621</v>
      </c>
      <c r="D64" s="755" t="s">
        <v>622</v>
      </c>
      <c r="E64" s="832">
        <v>0.4</v>
      </c>
      <c r="F64" s="819">
        <v>60</v>
      </c>
    </row>
    <row r="65" spans="1:6" s="815" customFormat="1" ht="36">
      <c r="A65" s="819">
        <v>5</v>
      </c>
      <c r="B65" s="3385"/>
      <c r="C65" s="755" t="s">
        <v>623</v>
      </c>
      <c r="D65" s="755" t="s">
        <v>624</v>
      </c>
      <c r="E65" s="832">
        <v>0.2</v>
      </c>
      <c r="F65" s="819">
        <v>30</v>
      </c>
    </row>
    <row r="66" spans="1:6" s="815" customFormat="1" ht="36">
      <c r="A66" s="819">
        <v>6</v>
      </c>
      <c r="B66" s="3385"/>
      <c r="C66" s="755" t="s">
        <v>625</v>
      </c>
      <c r="D66" s="755" t="s">
        <v>626</v>
      </c>
      <c r="E66" s="832">
        <v>0.3</v>
      </c>
      <c r="F66" s="819">
        <v>50</v>
      </c>
    </row>
    <row r="67" spans="1:6" s="815" customFormat="1" ht="36">
      <c r="A67" s="819">
        <v>7</v>
      </c>
      <c r="B67" s="3385"/>
      <c r="C67" s="755" t="s">
        <v>627</v>
      </c>
      <c r="D67" s="755" t="s">
        <v>628</v>
      </c>
      <c r="E67" s="832">
        <v>0.2</v>
      </c>
      <c r="F67" s="819">
        <v>30</v>
      </c>
    </row>
    <row r="68" spans="1:6" s="815" customFormat="1" ht="36">
      <c r="A68" s="819">
        <v>8</v>
      </c>
      <c r="B68" s="3385"/>
      <c r="C68" s="755" t="s">
        <v>629</v>
      </c>
      <c r="D68" s="755" t="s">
        <v>630</v>
      </c>
      <c r="E68" s="832">
        <v>0.2</v>
      </c>
      <c r="F68" s="819">
        <v>30</v>
      </c>
    </row>
    <row r="69" spans="1:6" s="815" customFormat="1" ht="36">
      <c r="A69" s="819">
        <v>9</v>
      </c>
      <c r="B69" s="3385"/>
      <c r="C69" s="755" t="s">
        <v>631</v>
      </c>
      <c r="D69" s="755" t="s">
        <v>632</v>
      </c>
      <c r="E69" s="832">
        <v>0.2</v>
      </c>
      <c r="F69" s="819">
        <v>30</v>
      </c>
    </row>
    <row r="70" spans="1:6" s="815" customFormat="1" ht="48">
      <c r="A70" s="819">
        <v>10</v>
      </c>
      <c r="B70" s="3385"/>
      <c r="C70" s="755" t="s">
        <v>633</v>
      </c>
      <c r="D70" s="755" t="s">
        <v>634</v>
      </c>
      <c r="E70" s="832">
        <v>0.2</v>
      </c>
      <c r="F70" s="819">
        <v>30</v>
      </c>
    </row>
    <row r="71" spans="1:6" s="815" customFormat="1" ht="48">
      <c r="A71" s="819">
        <v>11</v>
      </c>
      <c r="B71" s="3385"/>
      <c r="C71" s="755" t="s">
        <v>635</v>
      </c>
      <c r="D71" s="755" t="s">
        <v>636</v>
      </c>
      <c r="E71" s="832">
        <v>0.2</v>
      </c>
      <c r="F71" s="819">
        <v>30</v>
      </c>
    </row>
    <row r="72" spans="1:6" s="815" customFormat="1" ht="36">
      <c r="A72" s="819">
        <v>12</v>
      </c>
      <c r="B72" s="3385"/>
      <c r="C72" s="755" t="s">
        <v>637</v>
      </c>
      <c r="D72" s="755" t="s">
        <v>638</v>
      </c>
      <c r="E72" s="832">
        <v>0.5</v>
      </c>
      <c r="F72" s="819">
        <v>80</v>
      </c>
    </row>
    <row r="73" spans="1:6" s="815" customFormat="1" ht="24">
      <c r="A73" s="819">
        <v>13</v>
      </c>
      <c r="B73" s="3385"/>
      <c r="C73" s="755" t="s">
        <v>639</v>
      </c>
      <c r="D73" s="755" t="s">
        <v>640</v>
      </c>
      <c r="E73" s="832">
        <v>0.4</v>
      </c>
      <c r="F73" s="819">
        <v>60</v>
      </c>
    </row>
    <row r="74" spans="1:6" s="815" customFormat="1" ht="24">
      <c r="A74" s="819">
        <v>14</v>
      </c>
      <c r="B74" s="3385"/>
      <c r="C74" s="755" t="s">
        <v>641</v>
      </c>
      <c r="D74" s="755" t="s">
        <v>642</v>
      </c>
      <c r="E74" s="832">
        <v>0.2</v>
      </c>
      <c r="F74" s="819">
        <v>30</v>
      </c>
    </row>
    <row r="75" spans="1:6" s="815" customFormat="1" ht="24">
      <c r="A75" s="819">
        <v>15</v>
      </c>
      <c r="B75" s="3385"/>
      <c r="C75" s="755" t="s">
        <v>643</v>
      </c>
      <c r="D75" s="755" t="s">
        <v>644</v>
      </c>
      <c r="E75" s="832">
        <v>0.2</v>
      </c>
      <c r="F75" s="819">
        <v>30</v>
      </c>
    </row>
    <row r="76" spans="1:6" s="815" customFormat="1" ht="24">
      <c r="A76" s="819">
        <v>16</v>
      </c>
      <c r="B76" s="3385" t="s">
        <v>645</v>
      </c>
      <c r="C76" s="755" t="s">
        <v>646</v>
      </c>
      <c r="D76" s="755" t="s">
        <v>647</v>
      </c>
      <c r="E76" s="832">
        <v>0.5</v>
      </c>
      <c r="F76" s="819">
        <v>80</v>
      </c>
    </row>
    <row r="77" spans="1:6" s="815" customFormat="1" ht="24">
      <c r="A77" s="819">
        <v>17</v>
      </c>
      <c r="B77" s="3385"/>
      <c r="C77" s="755" t="s">
        <v>648</v>
      </c>
      <c r="D77" s="755" t="s">
        <v>649</v>
      </c>
      <c r="E77" s="832">
        <v>0.5</v>
      </c>
      <c r="F77" s="819">
        <v>80</v>
      </c>
    </row>
    <row r="78" spans="1:6" s="815" customFormat="1" ht="24">
      <c r="A78" s="819">
        <v>18</v>
      </c>
      <c r="B78" s="3385"/>
      <c r="C78" s="755" t="s">
        <v>650</v>
      </c>
      <c r="D78" s="755" t="s">
        <v>651</v>
      </c>
      <c r="E78" s="832">
        <v>0.2</v>
      </c>
      <c r="F78" s="819">
        <v>30</v>
      </c>
    </row>
    <row r="79" spans="1:6" s="815" customFormat="1" ht="24">
      <c r="A79" s="819">
        <v>19</v>
      </c>
      <c r="B79" s="3385"/>
      <c r="C79" s="755" t="s">
        <v>652</v>
      </c>
      <c r="D79" s="755" t="s">
        <v>653</v>
      </c>
      <c r="E79" s="832">
        <v>0.5</v>
      </c>
      <c r="F79" s="819">
        <v>80</v>
      </c>
    </row>
    <row r="80" spans="1:6" s="815" customFormat="1" ht="36">
      <c r="A80" s="819">
        <v>20</v>
      </c>
      <c r="B80" s="3385"/>
      <c r="C80" s="755" t="s">
        <v>654</v>
      </c>
      <c r="D80" s="755" t="s">
        <v>655</v>
      </c>
      <c r="E80" s="832">
        <v>0.2</v>
      </c>
      <c r="F80" s="819">
        <v>30</v>
      </c>
    </row>
    <row r="81" spans="1:6" s="815" customFormat="1" ht="36">
      <c r="A81" s="819">
        <v>21</v>
      </c>
      <c r="B81" s="3385"/>
      <c r="C81" s="755" t="s">
        <v>656</v>
      </c>
      <c r="D81" s="755" t="s">
        <v>657</v>
      </c>
      <c r="E81" s="832">
        <v>0.2</v>
      </c>
      <c r="F81" s="819">
        <v>30</v>
      </c>
    </row>
    <row r="82" spans="1:6" s="815" customFormat="1" ht="48">
      <c r="A82" s="819">
        <v>22</v>
      </c>
      <c r="B82" s="3385"/>
      <c r="C82" s="755" t="s">
        <v>658</v>
      </c>
      <c r="D82" s="755" t="s">
        <v>659</v>
      </c>
      <c r="E82" s="832">
        <v>0.2</v>
      </c>
      <c r="F82" s="819">
        <v>30</v>
      </c>
    </row>
    <row r="83" spans="1:6" s="815" customFormat="1" ht="48">
      <c r="A83" s="819">
        <v>23</v>
      </c>
      <c r="B83" s="3385"/>
      <c r="C83" s="755" t="s">
        <v>660</v>
      </c>
      <c r="D83" s="755" t="s">
        <v>661</v>
      </c>
      <c r="E83" s="832">
        <v>0.2</v>
      </c>
      <c r="F83" s="819">
        <v>30</v>
      </c>
    </row>
    <row r="84" spans="1:6" s="815" customFormat="1" ht="36">
      <c r="A84" s="819">
        <v>24</v>
      </c>
      <c r="B84" s="3385"/>
      <c r="C84" s="755" t="s">
        <v>662</v>
      </c>
      <c r="D84" s="755" t="s">
        <v>663</v>
      </c>
      <c r="E84" s="832">
        <v>0.2</v>
      </c>
      <c r="F84" s="819">
        <v>30</v>
      </c>
    </row>
    <row r="85" spans="1:6" s="815" customFormat="1" ht="36">
      <c r="A85" s="819">
        <v>25</v>
      </c>
      <c r="B85" s="3385"/>
      <c r="C85" s="755" t="s">
        <v>664</v>
      </c>
      <c r="D85" s="755" t="s">
        <v>665</v>
      </c>
      <c r="E85" s="832">
        <v>0.5</v>
      </c>
      <c r="F85" s="819">
        <v>80</v>
      </c>
    </row>
    <row r="86" spans="1:6" s="815" customFormat="1" ht="36">
      <c r="A86" s="819">
        <v>26</v>
      </c>
      <c r="B86" s="3385"/>
      <c r="C86" s="755" t="s">
        <v>666</v>
      </c>
      <c r="D86" s="755" t="s">
        <v>667</v>
      </c>
      <c r="E86" s="832">
        <v>0.2</v>
      </c>
      <c r="F86" s="819">
        <v>30</v>
      </c>
    </row>
    <row r="87" spans="1:6" s="815" customFormat="1" ht="36">
      <c r="A87" s="819">
        <v>27</v>
      </c>
      <c r="B87" s="3385"/>
      <c r="C87" s="755" t="s">
        <v>668</v>
      </c>
      <c r="D87" s="755" t="s">
        <v>669</v>
      </c>
      <c r="E87" s="832">
        <v>0.2</v>
      </c>
      <c r="F87" s="819">
        <v>30</v>
      </c>
    </row>
    <row r="88" spans="1:6" s="815" customFormat="1" ht="36">
      <c r="A88" s="819">
        <v>28</v>
      </c>
      <c r="B88" s="3385"/>
      <c r="C88" s="755" t="s">
        <v>670</v>
      </c>
      <c r="D88" s="755" t="s">
        <v>671</v>
      </c>
      <c r="E88" s="832">
        <v>0.2</v>
      </c>
      <c r="F88" s="819">
        <v>30</v>
      </c>
    </row>
    <row r="89" spans="1:6" s="815" customFormat="1" ht="24">
      <c r="A89" s="819">
        <v>29</v>
      </c>
      <c r="B89" s="3385"/>
      <c r="C89" s="755" t="s">
        <v>672</v>
      </c>
      <c r="D89" s="755" t="s">
        <v>673</v>
      </c>
      <c r="E89" s="832">
        <v>0.2</v>
      </c>
      <c r="F89" s="819">
        <v>30</v>
      </c>
    </row>
    <row r="90" spans="1:6" s="815" customFormat="1" ht="24">
      <c r="A90" s="819">
        <v>30</v>
      </c>
      <c r="B90" s="3385"/>
      <c r="C90" s="755" t="s">
        <v>674</v>
      </c>
      <c r="D90" s="755" t="s">
        <v>675</v>
      </c>
      <c r="E90" s="832">
        <v>0.2</v>
      </c>
      <c r="F90" s="819">
        <v>30</v>
      </c>
    </row>
    <row r="91" spans="1:6" s="815" customFormat="1" ht="36">
      <c r="A91" s="819">
        <v>31</v>
      </c>
      <c r="B91" s="3385"/>
      <c r="C91" s="755" t="s">
        <v>676</v>
      </c>
      <c r="D91" s="755" t="s">
        <v>677</v>
      </c>
      <c r="E91" s="832">
        <v>0.2</v>
      </c>
      <c r="F91" s="819">
        <v>30</v>
      </c>
    </row>
    <row r="92" spans="1:6" s="815" customFormat="1" ht="24">
      <c r="A92" s="819">
        <v>32</v>
      </c>
      <c r="B92" s="3385" t="s">
        <v>678</v>
      </c>
      <c r="C92" s="819" t="s">
        <v>679</v>
      </c>
      <c r="D92" s="755" t="s">
        <v>680</v>
      </c>
      <c r="E92" s="832">
        <v>0.2</v>
      </c>
      <c r="F92" s="819">
        <v>30</v>
      </c>
    </row>
    <row r="93" spans="1:6" s="815" customFormat="1" ht="36">
      <c r="A93" s="819">
        <v>33</v>
      </c>
      <c r="B93" s="3385"/>
      <c r="C93" s="819" t="s">
        <v>681</v>
      </c>
      <c r="D93" s="755" t="s">
        <v>682</v>
      </c>
      <c r="E93" s="832">
        <v>0.2</v>
      </c>
      <c r="F93" s="819">
        <v>30</v>
      </c>
    </row>
    <row r="94" spans="1:6" s="815" customFormat="1" ht="48">
      <c r="A94" s="819">
        <v>34</v>
      </c>
      <c r="B94" s="3385"/>
      <c r="C94" s="819" t="s">
        <v>683</v>
      </c>
      <c r="D94" s="755" t="s">
        <v>684</v>
      </c>
      <c r="E94" s="832">
        <v>0.2</v>
      </c>
      <c r="F94" s="819">
        <v>30</v>
      </c>
    </row>
    <row r="95" spans="1:6" s="815" customFormat="1" ht="36">
      <c r="A95" s="819">
        <v>35</v>
      </c>
      <c r="B95" s="3385"/>
      <c r="C95" s="819" t="s">
        <v>685</v>
      </c>
      <c r="D95" s="755" t="s">
        <v>686</v>
      </c>
      <c r="E95" s="832">
        <v>0.2</v>
      </c>
      <c r="F95" s="819">
        <v>30</v>
      </c>
    </row>
    <row r="96" spans="1:6" s="815" customFormat="1" ht="48">
      <c r="A96" s="819">
        <v>36</v>
      </c>
      <c r="B96" s="3385"/>
      <c r="C96" s="755" t="s">
        <v>687</v>
      </c>
      <c r="D96" s="755" t="s">
        <v>688</v>
      </c>
      <c r="E96" s="832">
        <v>0.2</v>
      </c>
      <c r="F96" s="819">
        <v>30</v>
      </c>
    </row>
    <row r="97" spans="1:6" s="815" customFormat="1" ht="36">
      <c r="A97" s="819">
        <v>37</v>
      </c>
      <c r="B97" s="3385"/>
      <c r="C97" s="819" t="s">
        <v>689</v>
      </c>
      <c r="D97" s="755" t="s">
        <v>690</v>
      </c>
      <c r="E97" s="832">
        <v>0.2</v>
      </c>
      <c r="F97" s="819">
        <v>30</v>
      </c>
    </row>
    <row r="98" spans="1:6" s="815" customFormat="1" ht="36">
      <c r="A98" s="819">
        <v>38</v>
      </c>
      <c r="B98" s="3385"/>
      <c r="C98" s="819" t="s">
        <v>691</v>
      </c>
      <c r="D98" s="755" t="s">
        <v>692</v>
      </c>
      <c r="E98" s="832">
        <v>0.2</v>
      </c>
      <c r="F98" s="819">
        <v>30</v>
      </c>
    </row>
    <row r="99" spans="1:6" s="815" customFormat="1" ht="36">
      <c r="A99" s="819">
        <v>39</v>
      </c>
      <c r="B99" s="3385" t="s">
        <v>693</v>
      </c>
      <c r="C99" s="819" t="s">
        <v>694</v>
      </c>
      <c r="D99" s="755" t="s">
        <v>695</v>
      </c>
      <c r="E99" s="832">
        <v>0.3</v>
      </c>
      <c r="F99" s="819">
        <v>50</v>
      </c>
    </row>
    <row r="100" spans="1:6" s="815" customFormat="1" ht="24">
      <c r="A100" s="819">
        <v>40</v>
      </c>
      <c r="B100" s="3385"/>
      <c r="C100" s="819" t="s">
        <v>696</v>
      </c>
      <c r="D100" s="755" t="s">
        <v>697</v>
      </c>
      <c r="E100" s="832">
        <v>0.2</v>
      </c>
      <c r="F100" s="819">
        <v>30</v>
      </c>
    </row>
    <row r="101" spans="1:6" s="815" customFormat="1" ht="36">
      <c r="A101" s="819">
        <v>41</v>
      </c>
      <c r="B101" s="338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85" t="s">
        <v>708</v>
      </c>
      <c r="C105" s="819" t="s">
        <v>709</v>
      </c>
      <c r="D105" s="755" t="s">
        <v>710</v>
      </c>
      <c r="E105" s="832">
        <v>0.2</v>
      </c>
      <c r="F105" s="819">
        <v>30</v>
      </c>
    </row>
    <row r="106" spans="1:6" s="815" customFormat="1" ht="36">
      <c r="A106" s="819">
        <v>46</v>
      </c>
      <c r="B106" s="3385"/>
      <c r="C106" s="819" t="s">
        <v>711</v>
      </c>
      <c r="D106" s="755" t="s">
        <v>712</v>
      </c>
      <c r="E106" s="832">
        <v>0.2</v>
      </c>
      <c r="F106" s="819">
        <v>30</v>
      </c>
    </row>
    <row r="107" spans="1:6" s="815" customFormat="1" ht="36">
      <c r="A107" s="819">
        <v>47</v>
      </c>
      <c r="B107" s="3385" t="s">
        <v>713</v>
      </c>
      <c r="C107" s="819" t="s">
        <v>714</v>
      </c>
      <c r="D107" s="755" t="s">
        <v>715</v>
      </c>
      <c r="E107" s="832">
        <v>0.3</v>
      </c>
      <c r="F107" s="819">
        <v>50</v>
      </c>
    </row>
    <row r="108" spans="1:6" s="815" customFormat="1" ht="36">
      <c r="A108" s="819">
        <v>48</v>
      </c>
      <c r="B108" s="338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85" t="s">
        <v>724</v>
      </c>
      <c r="C111" s="819" t="s">
        <v>725</v>
      </c>
      <c r="D111" s="755" t="s">
        <v>726</v>
      </c>
      <c r="E111" s="832">
        <v>0.2</v>
      </c>
      <c r="F111" s="819">
        <v>30</v>
      </c>
    </row>
    <row r="112" spans="1:6" s="815" customFormat="1" ht="24">
      <c r="A112" s="819">
        <v>52</v>
      </c>
      <c r="B112" s="3385"/>
      <c r="C112" s="819" t="s">
        <v>727</v>
      </c>
      <c r="D112" s="755" t="s">
        <v>728</v>
      </c>
      <c r="E112" s="832">
        <v>0.2</v>
      </c>
      <c r="F112" s="819">
        <v>30</v>
      </c>
    </row>
    <row r="113" spans="1:6" s="815" customFormat="1" ht="24">
      <c r="A113" s="819">
        <v>53</v>
      </c>
      <c r="B113" s="338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85" t="s">
        <v>737</v>
      </c>
      <c r="C116" s="819" t="s">
        <v>738</v>
      </c>
      <c r="D116" s="755" t="s">
        <v>739</v>
      </c>
      <c r="E116" s="832">
        <v>0.2</v>
      </c>
      <c r="F116" s="819">
        <v>30</v>
      </c>
    </row>
    <row r="117" spans="1:6" ht="36">
      <c r="A117" s="819">
        <v>57</v>
      </c>
      <c r="B117" s="338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91" t="s">
        <v>1117</v>
      </c>
      <c r="C1" s="3391"/>
      <c r="D1" s="3391"/>
      <c r="E1" s="3391"/>
      <c r="F1" s="3391"/>
      <c r="G1" s="3387" t="s">
        <v>1118</v>
      </c>
      <c r="H1" s="3387"/>
      <c r="I1" s="3387"/>
      <c r="J1" s="3387"/>
      <c r="K1" s="3387"/>
      <c r="L1" s="3387"/>
      <c r="N1" s="3387" t="s">
        <v>1119</v>
      </c>
      <c r="O1" s="3387"/>
      <c r="P1" s="3387"/>
      <c r="Q1" s="3387"/>
      <c r="S1" s="3387" t="s">
        <v>1120</v>
      </c>
      <c r="T1" s="3387"/>
      <c r="U1" s="3387"/>
      <c r="V1" s="3387"/>
      <c r="X1" s="3386" t="s">
        <v>1121</v>
      </c>
      <c r="Y1" s="3387"/>
      <c r="Z1" s="3387"/>
      <c r="AA1" s="3387"/>
      <c r="AB1" s="3387"/>
      <c r="AD1" s="3386" t="s">
        <v>1122</v>
      </c>
      <c r="AE1" s="3387"/>
      <c r="AF1" s="3387"/>
      <c r="AG1" s="3387"/>
      <c r="AH1" s="3387"/>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3055</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3054</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3053</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3052</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3050</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3049</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2872</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2870</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2869</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2868</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2866</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2864</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2867</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389">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2862</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389"/>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2861</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389"/>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2854</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396"/>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2852</v>
      </c>
      <c r="B21" s="2436">
        <v>439</v>
      </c>
      <c r="C21" s="2436">
        <v>327</v>
      </c>
      <c r="D21" s="2436">
        <f>C21</f>
        <v>327</v>
      </c>
      <c r="E21" s="2436">
        <v>627</v>
      </c>
      <c r="F21" s="2437">
        <v>283</v>
      </c>
      <c r="G21" s="3392">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2853</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389"/>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389"/>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396"/>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392">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389"/>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389"/>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390"/>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388">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389"/>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389"/>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390"/>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388">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389"/>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389"/>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390"/>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393">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394"/>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394"/>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395"/>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388">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389"/>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389"/>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390"/>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388">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389">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389">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390">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388">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389">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389">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390">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388">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389">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389">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390">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388">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389">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389">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390">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388">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389">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389">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390">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388">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389">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389">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390">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388">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389">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389">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390">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388">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389">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389">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390">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388">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389">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389">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390">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388">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389">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389">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390">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7" sqref="U37"/>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2"/>
    <col min="46" max="16384" width="9" style="134"/>
  </cols>
  <sheetData>
    <row r="1" spans="1:45" ht="14.25" customHeight="1" thickBot="1">
      <c r="A1" s="150"/>
      <c r="B1" s="1112" t="s">
        <v>2825</v>
      </c>
      <c r="C1" s="3400" t="s">
        <v>2826</v>
      </c>
      <c r="D1" s="3401"/>
      <c r="E1" s="3401"/>
      <c r="F1" s="3401"/>
      <c r="G1" s="3401"/>
      <c r="H1" s="3401"/>
      <c r="I1" s="3401"/>
      <c r="J1" s="3401"/>
      <c r="K1" s="3401"/>
      <c r="L1" s="3401"/>
      <c r="M1" s="3401"/>
      <c r="N1" s="3401"/>
      <c r="O1" s="3401"/>
      <c r="P1" s="3401"/>
      <c r="Q1" s="3401"/>
      <c r="R1" s="3401"/>
      <c r="S1" s="3402"/>
      <c r="T1" s="1112" t="s">
        <v>2827</v>
      </c>
    </row>
    <row r="2" spans="1:45" s="661" customFormat="1" ht="38.25">
      <c r="A2" s="1113"/>
      <c r="B2" s="657" t="s">
        <v>2828</v>
      </c>
      <c r="C2" s="658" t="str">
        <f t="shared" ref="C2:L2" si="0">C3&amp;"(含)"&amp;"-"&amp;D3</f>
        <v>0(含)-100</v>
      </c>
      <c r="D2" s="659" t="str">
        <f t="shared" si="0"/>
        <v>100(含)-200</v>
      </c>
      <c r="E2" s="659" t="str">
        <f t="shared" si="0"/>
        <v>200(含)-500</v>
      </c>
      <c r="F2" s="659" t="str">
        <f t="shared" si="0"/>
        <v>500(含)-1000</v>
      </c>
      <c r="G2" s="659" t="str">
        <f t="shared" si="0"/>
        <v>1000(含)-2000</v>
      </c>
      <c r="H2" s="659" t="str">
        <f t="shared" si="0"/>
        <v>2000(含)-5000</v>
      </c>
      <c r="I2" s="659" t="str">
        <f t="shared" si="0"/>
        <v>5000(含)-10000</v>
      </c>
      <c r="J2" s="659" t="str">
        <f t="shared" si="0"/>
        <v>10000(含)-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v>0</v>
      </c>
      <c r="D3" s="664">
        <v>100</v>
      </c>
      <c r="E3" s="664">
        <v>200</v>
      </c>
      <c r="F3" s="1471">
        <v>500</v>
      </c>
      <c r="G3" s="1471">
        <v>1000</v>
      </c>
      <c r="H3" s="1471">
        <v>2000</v>
      </c>
      <c r="I3" s="1471">
        <v>5000</v>
      </c>
      <c r="J3" s="1471">
        <v>10000</v>
      </c>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v>100</v>
      </c>
      <c r="D4" s="1119">
        <v>99</v>
      </c>
      <c r="E4" s="1119">
        <v>98</v>
      </c>
      <c r="F4" s="1119">
        <v>97</v>
      </c>
      <c r="G4" s="1119">
        <v>96</v>
      </c>
      <c r="H4" s="1119">
        <v>95</v>
      </c>
      <c r="I4" s="1119">
        <v>94</v>
      </c>
      <c r="J4" s="1119">
        <v>93</v>
      </c>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idden="1">
      <c r="A5" s="1123"/>
      <c r="B5" s="1504" t="s">
        <v>2829</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hidden="1"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hidden="1">
      <c r="A7" s="1123"/>
      <c r="B7" s="1505" t="s">
        <v>2830</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hidden="1"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hidden="1">
      <c r="A9" s="1123"/>
      <c r="B9" s="1505" t="s">
        <v>2831</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hidden="1"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hidden="1">
      <c r="A11" s="1123"/>
      <c r="B11" s="1504" t="s">
        <v>2832</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hidden="1"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hidden="1">
      <c r="A13" s="1123"/>
      <c r="B13" s="1504" t="s">
        <v>2833</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hidden="1"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hidden="1">
      <c r="A15" s="1123"/>
      <c r="B15" s="1504" t="s">
        <v>2834</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hidden="1"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2" t="s">
        <v>2835</v>
      </c>
      <c r="B17" s="2363" t="s">
        <v>2836</v>
      </c>
      <c r="C17" s="1139" t="s">
        <v>3088</v>
      </c>
      <c r="D17" s="1140" t="s">
        <v>3089</v>
      </c>
      <c r="E17" s="1140" t="s">
        <v>3090</v>
      </c>
      <c r="F17" s="1140" t="s">
        <v>3091</v>
      </c>
      <c r="G17" s="1140" t="s">
        <v>3115</v>
      </c>
      <c r="H17" s="1140" t="s">
        <v>3116</v>
      </c>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v>100</v>
      </c>
      <c r="D18" s="1152">
        <v>65</v>
      </c>
      <c r="E18" s="1152">
        <v>55</v>
      </c>
      <c r="F18" s="1152">
        <v>50</v>
      </c>
      <c r="G18" s="1152">
        <f>ROUND((C18+D18+E18)/3,0)</f>
        <v>73</v>
      </c>
      <c r="H18" s="1152">
        <f>ROUND((C18+D18+E18+F18)/4,0)</f>
        <v>68</v>
      </c>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3"/>
      <c r="B19" s="163"/>
      <c r="C19" s="163"/>
      <c r="D19" s="2364" t="s">
        <v>2837</v>
      </c>
      <c r="E19" s="1522"/>
      <c r="F19" s="1522"/>
      <c r="G19" s="1522"/>
      <c r="H19" s="1188"/>
      <c r="I19" s="163"/>
      <c r="J19" s="163"/>
      <c r="K19" s="163"/>
      <c r="L19" s="163"/>
      <c r="M19" s="163"/>
      <c r="N19" s="163"/>
      <c r="O19" s="163"/>
      <c r="P19" s="163"/>
      <c r="Q19" s="163"/>
      <c r="R19" s="725"/>
      <c r="S19" s="133"/>
    </row>
    <row r="20" spans="1:45" ht="16.5" thickBot="1">
      <c r="A20" s="669" t="s">
        <v>2838</v>
      </c>
      <c r="B20" s="299">
        <f ca="1">IF(D20="——",S22,S22-F20)</f>
        <v>19623</v>
      </c>
      <c r="C20" s="163"/>
      <c r="D20" s="2365" t="s">
        <v>70</v>
      </c>
      <c r="E20" s="1523"/>
      <c r="F20" s="1112" t="e">
        <f ca="1">SUMIF(INDIRECT("'"&amp;H20&amp;"'"&amp;"!A:A"),"承租人权益价值",INDIRECT("'"&amp;H20&amp;"'"&amp;"!c:c"))</f>
        <v>#REF!</v>
      </c>
      <c r="G20" s="1112" t="s">
        <v>2839</v>
      </c>
      <c r="H20" s="2366"/>
      <c r="I20" s="163"/>
      <c r="J20" s="163"/>
      <c r="K20" s="163"/>
      <c r="L20" s="163"/>
      <c r="M20" s="163"/>
      <c r="N20" s="163"/>
      <c r="O20" s="163"/>
      <c r="P20" s="163"/>
      <c r="Q20" s="163"/>
      <c r="R20" s="725"/>
      <c r="S20" s="133"/>
    </row>
    <row r="21" spans="1:45" ht="15.75">
      <c r="A21" s="669" t="s">
        <v>2840</v>
      </c>
      <c r="B21" s="299">
        <f ca="1">ROUND(B20*10000/B22,0)</f>
        <v>7221</v>
      </c>
      <c r="C21" s="163"/>
      <c r="D21" s="163"/>
      <c r="E21" s="163"/>
      <c r="F21" s="163"/>
      <c r="G21" s="163"/>
      <c r="H21" s="163"/>
      <c r="I21" s="163"/>
      <c r="J21" s="163"/>
      <c r="K21" s="163"/>
      <c r="L21" s="163"/>
      <c r="M21" s="163"/>
      <c r="N21" s="163"/>
      <c r="O21" s="163"/>
      <c r="P21" s="163"/>
      <c r="Q21" s="163"/>
      <c r="R21" s="725"/>
      <c r="S21" s="133"/>
    </row>
    <row r="22" spans="1:45">
      <c r="A22" s="321" t="s">
        <v>2841</v>
      </c>
      <c r="B22" s="24">
        <f>SUM(B24:B10000)</f>
        <v>27173.91</v>
      </c>
      <c r="C22" s="3397" t="s">
        <v>33</v>
      </c>
      <c r="D22" s="3398"/>
      <c r="E22" s="3398"/>
      <c r="F22" s="3398"/>
      <c r="G22" s="3398"/>
      <c r="H22" s="3398"/>
      <c r="I22" s="3398"/>
      <c r="J22" s="3398"/>
      <c r="K22" s="3398"/>
      <c r="L22" s="3398"/>
      <c r="M22" s="3398"/>
      <c r="N22" s="3398"/>
      <c r="O22" s="3398"/>
      <c r="P22" s="3398"/>
      <c r="Q22" s="3399"/>
      <c r="R22" s="670">
        <f ca="1">ROUND(S22*10000/B22,0)</f>
        <v>7221</v>
      </c>
      <c r="S22" s="24">
        <f ca="1">SUM(S24:S10000)</f>
        <v>19623</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1" t="s">
        <v>2845</v>
      </c>
      <c r="S23" s="11" t="s">
        <v>2846</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tr">
        <f>'数据-基础表'!C13</f>
        <v>1幢</v>
      </c>
      <c r="B24" s="672">
        <f>'数据-基础表'!I13</f>
        <v>456.22</v>
      </c>
      <c r="C24" s="3039">
        <v>1</v>
      </c>
      <c r="D24" s="3040"/>
      <c r="E24" s="3039">
        <v>1</v>
      </c>
      <c r="F24" s="3040"/>
      <c r="G24" s="3039">
        <v>1</v>
      </c>
      <c r="H24" s="3040"/>
      <c r="I24" s="3039">
        <v>1</v>
      </c>
      <c r="J24" s="3040"/>
      <c r="K24" s="3039">
        <v>1</v>
      </c>
      <c r="L24" s="3040"/>
      <c r="M24" s="3039">
        <v>1</v>
      </c>
      <c r="N24" s="3040"/>
      <c r="O24" s="3039">
        <v>1</v>
      </c>
      <c r="P24" s="674" t="s">
        <v>3088</v>
      </c>
      <c r="Q24" s="3039">
        <v>1</v>
      </c>
      <c r="R24" s="675">
        <f ca="1">结果表!G20</f>
        <v>10506</v>
      </c>
      <c r="S24" s="673">
        <f t="shared" ref="S24:S54" ca="1" si="11">ROUND(R24*B24/10000,0)</f>
        <v>479</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t="str">
        <f>'数据-基础表'!C14</f>
        <v>2幢</v>
      </c>
      <c r="B25" s="672">
        <f>'数据-基础表'!I14</f>
        <v>4647.26</v>
      </c>
      <c r="C25" s="24">
        <f>IF(B25="",1,(LOOKUP(B25,$3:$3,$4:$4)-LOOKUP($B$24,$3:$3,$4:$4)+100)/100)</f>
        <v>0.97</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t="s">
        <v>3094</v>
      </c>
      <c r="Q25" s="24">
        <f>(SUMIF($17:$17,P25,$18:$18)-SUMIF($17:$17,$P$24,$18:$18)+100)/100</f>
        <v>0.68</v>
      </c>
      <c r="R25" s="670">
        <f ca="1">IF(B25="",0,ROUND($R$24*C25*E25*G25*I25*K25*M25*O25*Q25,0))</f>
        <v>6930</v>
      </c>
      <c r="S25" s="321">
        <f t="shared" ca="1" si="11"/>
        <v>3221</v>
      </c>
    </row>
    <row r="26" spans="1:45">
      <c r="A26" s="672" t="str">
        <f>'数据-基础表'!C15</f>
        <v>3幢</v>
      </c>
      <c r="B26" s="672">
        <f>'数据-基础表'!I15</f>
        <v>6142.83</v>
      </c>
      <c r="C26" s="24">
        <f t="shared" ref="C26:C89" si="12">IF(B26="",1,(LOOKUP(B26,$3:$3,$4:$4)-LOOKUP($B$24,$3:$3,$4:$4)+100)/100)</f>
        <v>0.96</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t="s">
        <v>3093</v>
      </c>
      <c r="Q26" s="24">
        <f t="shared" ref="Q26:Q89" si="19">(SUMIF($17:$17,P26,$18:$18)-SUMIF($17:$17,$P$24,$18:$18)+100)/100</f>
        <v>0.73</v>
      </c>
      <c r="R26" s="670">
        <f t="shared" ref="R26:R89" ca="1" si="20">IF(B26="",0,ROUND($R$24*C26*E26*G26*I26*K26*M26*O26*Q26,0))</f>
        <v>7363</v>
      </c>
      <c r="S26" s="321">
        <f t="shared" ca="1" si="11"/>
        <v>4523</v>
      </c>
    </row>
    <row r="27" spans="1:45">
      <c r="A27" s="672" t="str">
        <f>'数据-基础表'!C16</f>
        <v>4幢</v>
      </c>
      <c r="B27" s="672">
        <f>'数据-基础表'!I16</f>
        <v>6144.19</v>
      </c>
      <c r="C27" s="24">
        <f t="shared" si="12"/>
        <v>0.96</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t="s">
        <v>3093</v>
      </c>
      <c r="Q27" s="24">
        <f t="shared" si="19"/>
        <v>0.73</v>
      </c>
      <c r="R27" s="670">
        <f t="shared" ca="1" si="20"/>
        <v>7363</v>
      </c>
      <c r="S27" s="321">
        <f t="shared" ca="1" si="11"/>
        <v>4524</v>
      </c>
    </row>
    <row r="28" spans="1:45">
      <c r="A28" s="672" t="str">
        <f>'数据-基础表'!C17</f>
        <v>5幢</v>
      </c>
      <c r="B28" s="672">
        <f>'数据-基础表'!I17</f>
        <v>2870.44</v>
      </c>
      <c r="C28" s="24">
        <f t="shared" si="12"/>
        <v>0.97</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t="s">
        <v>3093</v>
      </c>
      <c r="Q28" s="24">
        <f t="shared" si="19"/>
        <v>0.73</v>
      </c>
      <c r="R28" s="670">
        <f t="shared" ca="1" si="20"/>
        <v>7439</v>
      </c>
      <c r="S28" s="321">
        <f t="shared" ca="1" si="11"/>
        <v>2135</v>
      </c>
    </row>
    <row r="29" spans="1:45">
      <c r="A29" s="672" t="str">
        <f>'数据-基础表'!C18</f>
        <v>6幢</v>
      </c>
      <c r="B29" s="672">
        <f>'数据-基础表'!I18</f>
        <v>6912.97</v>
      </c>
      <c r="C29" s="24">
        <f t="shared" si="12"/>
        <v>0.96</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t="s">
        <v>3094</v>
      </c>
      <c r="Q29" s="24">
        <f t="shared" si="19"/>
        <v>0.68</v>
      </c>
      <c r="R29" s="670">
        <f t="shared" ca="1" si="20"/>
        <v>6858</v>
      </c>
      <c r="S29" s="321">
        <f t="shared" ca="1" si="11"/>
        <v>4741</v>
      </c>
    </row>
    <row r="30" spans="1:45">
      <c r="A30" s="672"/>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1">
        <f t="shared" si="11"/>
        <v>0</v>
      </c>
    </row>
    <row r="31" spans="1:45">
      <c r="A31" s="154"/>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1">
        <f t="shared" si="11"/>
        <v>0</v>
      </c>
    </row>
    <row r="32" spans="1:45">
      <c r="A32" s="154"/>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1">
        <f t="shared" si="11"/>
        <v>0</v>
      </c>
    </row>
    <row r="33" spans="1:19">
      <c r="A33" s="154"/>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1">
        <f t="shared" si="11"/>
        <v>0</v>
      </c>
    </row>
    <row r="34" spans="1:19">
      <c r="A34" s="154"/>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1">
        <f t="shared" si="11"/>
        <v>0</v>
      </c>
    </row>
    <row r="35" spans="1:19">
      <c r="A35" s="154"/>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1">
        <f t="shared" si="11"/>
        <v>0</v>
      </c>
    </row>
    <row r="36" spans="1:19">
      <c r="A36" s="154"/>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1">
        <f t="shared" si="11"/>
        <v>0</v>
      </c>
    </row>
    <row r="37" spans="1:19">
      <c r="A37" s="154"/>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1">
        <f t="shared" si="11"/>
        <v>0</v>
      </c>
    </row>
    <row r="38" spans="1:19">
      <c r="A38" s="154"/>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1">
        <f t="shared" si="11"/>
        <v>0</v>
      </c>
    </row>
    <row r="39" spans="1:19">
      <c r="A39" s="154"/>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1">
        <f t="shared" si="11"/>
        <v>0</v>
      </c>
    </row>
    <row r="40" spans="1:19">
      <c r="A40" s="154"/>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1">
        <f t="shared" si="11"/>
        <v>0</v>
      </c>
    </row>
    <row r="41" spans="1:19">
      <c r="A41" s="154"/>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1">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1">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1">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1">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1">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1">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1">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1">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1">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1">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1">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1">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1">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1">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1">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1">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1">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1">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1">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1">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1">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1">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1">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1">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1">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1">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1">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1">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1">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1">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1">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1">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1">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1">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1">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1">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1">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1">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1">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1">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1">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1">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1">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1">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1">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1">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1">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1">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1">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1">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1">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1">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1">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1">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1">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1">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1">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1">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1">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1">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1">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1">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1">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1">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1">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1">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1">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1">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1">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1">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1">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1">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1">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1">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1">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1">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1">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1">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1">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1">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1">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1">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1">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1">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1">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1">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1">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1">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1">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1">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1">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1">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1">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1">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1">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1">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1">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1">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1">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1">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1">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1">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1">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1">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1">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1">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1">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1">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1">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1">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1">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1">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1">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1">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1">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1">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1">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1">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1">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1">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1">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1">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1">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1">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1">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1">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1">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1">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1">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1">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1">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1">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1">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1">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1">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1">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1">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1">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1">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1">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1">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1">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1">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1">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1">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1">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1">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1">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1">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1">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1">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1">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1">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1">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1">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1">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1">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1">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1">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1">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1">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1">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1">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1">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1">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1">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1">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1">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1">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1">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1">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1">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1">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1">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1">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1">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1">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1">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1">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1">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1">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1">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1">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1">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1">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1">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1">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1">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1">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1">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1">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1">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1">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1">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1">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1">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1">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1">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1">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1">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1">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1">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1">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1">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1">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1">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1">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1">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1">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1">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1">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1">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1">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1">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1">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1">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1">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1">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1">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1">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1">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1">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1">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1">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1">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1">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1">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1">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1">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1">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1">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1">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1">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1">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1">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1">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1">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1">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1">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1">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1">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1">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1">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1">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1">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1">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1">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1">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1">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1">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1">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1">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1">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1">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1">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1">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1">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1">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1">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1">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1">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1">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1">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1">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1">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1">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1">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1">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1">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1">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1">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1">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1">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1">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1">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1">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1">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1">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1">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1">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1">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1">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1">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1">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1">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1">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1">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1">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1">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1">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1">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1">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1">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1">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1">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1">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1">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1">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1">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1">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1">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1">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1">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1">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1">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1">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1">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1">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1">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1">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1">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1">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1">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1">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1">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1">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1">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1">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1">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1">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1">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1">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1">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1">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1">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1">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1">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1">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1">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1">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1">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1">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1">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1">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1">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1">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1">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1">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1">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1">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1">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1">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1">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1">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1">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1">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1">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1">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1">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1">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1">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1">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1">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1">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1">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1">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1">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1">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1">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1">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1">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1">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1">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1">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1">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1">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1">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1">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1">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1">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1">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1">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1">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1">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1">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1">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1">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1">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1">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1">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1">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1">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1">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1">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1">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1">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1">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1">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1">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1">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1">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1">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1">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1">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1">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1">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1">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1">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1">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1">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1">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1">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1">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1">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1">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1">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1">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1">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1">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1">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1">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1">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1">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1">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1">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1">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1">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1">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1">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1">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1">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1">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1">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1">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1">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1">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1">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1">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1">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1">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1">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1">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1">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1">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1">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1">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1">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1">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1">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1">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1">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1">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1">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1">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1">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1">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1">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1">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1">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1">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1">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1">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1">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1">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1">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1">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1">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1">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1">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1">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1">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1">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1">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1">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1">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1">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1">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1">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1">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1">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1">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1">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1">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1">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1">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1">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1">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1">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1">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1">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1">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1">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1">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676"/>
      <c r="B4" s="3070" t="s">
        <v>1595</v>
      </c>
      <c r="C4" s="3070"/>
      <c r="D4" s="3070"/>
      <c r="E4" s="1676"/>
    </row>
    <row r="5" spans="1:5" ht="16.5" thickTop="1">
      <c r="A5" s="1674"/>
      <c r="B5" s="3068" t="s">
        <v>1587</v>
      </c>
      <c r="C5" s="1677" t="s">
        <v>1588</v>
      </c>
      <c r="D5" s="957" t="e">
        <f ca="1">结果表!H101</f>
        <v>#REF!</v>
      </c>
      <c r="E5" s="1674"/>
    </row>
    <row r="6" spans="1:5" ht="15.75">
      <c r="A6" s="1674"/>
      <c r="B6" s="3068"/>
      <c r="C6" s="1677" t="s">
        <v>1589</v>
      </c>
      <c r="D6" s="957" t="e">
        <f ca="1">NUMBERSTRING(INT(D5*10000),2)&amp;"元整"</f>
        <v>#REF!</v>
      </c>
      <c r="E6" s="1674"/>
    </row>
    <row r="7" spans="1:5" ht="15.75">
      <c r="A7" s="1674"/>
      <c r="B7" s="3073"/>
      <c r="C7" s="1678" t="s">
        <v>1590</v>
      </c>
      <c r="D7" s="958" t="e">
        <f ca="1">结果表!H102</f>
        <v>#REF!</v>
      </c>
      <c r="E7" s="1674"/>
    </row>
    <row r="8" spans="1:5" ht="15.75">
      <c r="A8" s="1674"/>
      <c r="B8" s="3074" t="str">
        <f>结果表!E103</f>
        <v>2.估价师知悉的法定优先受偿款</v>
      </c>
      <c r="C8" s="1679" t="s">
        <v>1591</v>
      </c>
      <c r="D8" s="958">
        <f>结果表!H103</f>
        <v>0</v>
      </c>
      <c r="E8" s="1674"/>
    </row>
    <row r="9" spans="1:5" ht="15.75">
      <c r="A9" s="1674"/>
      <c r="B9" s="3076"/>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067" t="str">
        <f>结果表!E107</f>
        <v>3.房地产抵押价值</v>
      </c>
      <c r="C13" s="1682" t="s">
        <v>1588</v>
      </c>
      <c r="D13" s="960" t="e">
        <f ca="1">结果表!H107</f>
        <v>#REF!</v>
      </c>
      <c r="E13" s="1674"/>
    </row>
    <row r="14" spans="1:5" ht="15.75">
      <c r="A14" s="1674"/>
      <c r="B14" s="3068"/>
      <c r="C14" s="1677" t="s">
        <v>1589</v>
      </c>
      <c r="D14" s="957" t="e">
        <f ca="1">NUMBERSTRING(INT(D13*10000),2)&amp;"元整"</f>
        <v>#REF!</v>
      </c>
      <c r="E14" s="1674"/>
    </row>
    <row r="15" spans="1:5" ht="15">
      <c r="A15" s="1674"/>
      <c r="B15" s="3073"/>
      <c r="C15" s="1678" t="s">
        <v>1599</v>
      </c>
      <c r="D15" s="966" t="e">
        <f ca="1">结果表!H108</f>
        <v>#REF!</v>
      </c>
      <c r="E15" s="1674"/>
    </row>
    <row r="16" spans="1:5" ht="15">
      <c r="A16" s="1674"/>
      <c r="B16" s="3074" t="str">
        <f>结果表!E109</f>
        <v>——</v>
      </c>
      <c r="C16" s="1682" t="s">
        <v>1600</v>
      </c>
      <c r="D16" s="1683" t="str">
        <f>结果表!H109</f>
        <v>——</v>
      </c>
      <c r="E16" s="1674"/>
    </row>
    <row r="17" spans="1:5" ht="15.75">
      <c r="A17" s="1674"/>
      <c r="B17" s="3075"/>
      <c r="C17" s="1677" t="s">
        <v>1601</v>
      </c>
      <c r="D17" s="957" t="e">
        <f>NUMBERSTRING(INT(D16*10000),2)&amp;"元整"</f>
        <v>#VALUE!</v>
      </c>
      <c r="E17" s="1674"/>
    </row>
    <row r="18" spans="1:5" ht="15">
      <c r="A18" s="1674"/>
      <c r="B18" s="3076"/>
      <c r="C18" s="1678" t="s">
        <v>1590</v>
      </c>
      <c r="D18" s="966" t="str">
        <f>结果表!H110</f>
        <v>——</v>
      </c>
      <c r="E18" s="1674"/>
    </row>
    <row r="19" spans="1:5" ht="15.75">
      <c r="A19" s="1674"/>
      <c r="B19" s="3067" t="str">
        <f>结果表!E111</f>
        <v>——</v>
      </c>
      <c r="C19" s="1682" t="s">
        <v>1588</v>
      </c>
      <c r="D19" s="958" t="str">
        <f>结果表!H111</f>
        <v>——</v>
      </c>
      <c r="E19" s="1674"/>
    </row>
    <row r="20" spans="1:5" ht="15.75">
      <c r="A20" s="1674"/>
      <c r="B20" s="3068"/>
      <c r="C20" s="1677" t="s">
        <v>1601</v>
      </c>
      <c r="D20" s="957" t="e">
        <f>NUMBERSTRING(INT(D19*10000),2)&amp;"元整"</f>
        <v>#VALUE!</v>
      </c>
      <c r="E20" s="1674"/>
    </row>
    <row r="21" spans="1:5" ht="15.75" thickBot="1">
      <c r="A21" s="1674"/>
      <c r="B21" s="3069"/>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39091</v>
      </c>
      <c r="C2" s="2" t="s">
        <v>133</v>
      </c>
      <c r="D2" s="204"/>
      <c r="E2" s="204"/>
      <c r="F2" s="204"/>
      <c r="G2" s="204"/>
    </row>
    <row r="3" spans="1:7" s="205" customFormat="1" ht="18" customHeight="1" thickBot="1">
      <c r="A3" s="208" t="s">
        <v>85</v>
      </c>
      <c r="B3" s="209">
        <f ca="1">ROUND(B2*10000/'数据-汇总表'!E3,0)</f>
        <v>14385</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105</v>
      </c>
      <c r="F9" s="226"/>
      <c r="G9" s="231"/>
    </row>
    <row r="10" spans="1:7" s="219" customFormat="1" ht="13.5" customHeight="1">
      <c r="A10" s="885" t="s">
        <v>801</v>
      </c>
      <c r="B10" s="229" t="s">
        <v>94</v>
      </c>
      <c r="C10" s="230">
        <f>ROUND(D10*E10/10000,0)</f>
        <v>285</v>
      </c>
      <c r="D10" s="952">
        <f>'数据-汇总表'!E6</f>
        <v>27173.91</v>
      </c>
      <c r="E10" s="230">
        <f>'数据-取费表'!B28</f>
        <v>105</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543</v>
      </c>
      <c r="D19" s="956">
        <f>'数据-汇总表'!E3</f>
        <v>27173.91</v>
      </c>
      <c r="E19" s="216">
        <f>'数据-取费表'!B31</f>
        <v>200</v>
      </c>
      <c r="F19" s="236"/>
      <c r="G19" s="1" t="s">
        <v>1042</v>
      </c>
    </row>
    <row r="20" spans="1:7" s="219" customFormat="1" ht="13.5" customHeight="1">
      <c r="A20" s="883" t="s">
        <v>1025</v>
      </c>
      <c r="B20" s="215" t="s">
        <v>104</v>
      </c>
      <c r="C20" s="237">
        <f>ROUND((C5+C19)*F20,0)</f>
        <v>529</v>
      </c>
      <c r="D20" s="237"/>
      <c r="E20" s="237"/>
      <c r="F20" s="238">
        <f>'数据-取费表'!B37</f>
        <v>2.5000000000000001E-2</v>
      </c>
      <c r="G20" s="1197" t="s">
        <v>1036</v>
      </c>
    </row>
    <row r="21" spans="1:7" s="219" customFormat="1" ht="13.5" customHeight="1">
      <c r="A21" s="883" t="s">
        <v>1027</v>
      </c>
      <c r="B21" s="215" t="s">
        <v>105</v>
      </c>
      <c r="C21" s="240">
        <f>F21</f>
        <v>2.5000000000000001E-2</v>
      </c>
      <c r="D21" s="241" t="s">
        <v>126</v>
      </c>
      <c r="E21" s="237"/>
      <c r="F21" s="238">
        <f>'数据-取费表'!B38</f>
        <v>2.5000000000000001E-2</v>
      </c>
      <c r="G21" s="239" t="s">
        <v>106</v>
      </c>
    </row>
    <row r="22" spans="1:7" s="219" customFormat="1" ht="13.5" customHeight="1">
      <c r="A22" s="883" t="s">
        <v>786</v>
      </c>
      <c r="B22" s="215" t="s">
        <v>107</v>
      </c>
      <c r="C22" s="1262">
        <f ca="1">ROUND(SUM(C23:C25),0)</f>
        <v>1412</v>
      </c>
      <c r="D22" s="240">
        <f ca="1">C26</f>
        <v>8.0000000000000004E-4</v>
      </c>
      <c r="E22" s="241" t="s">
        <v>126</v>
      </c>
      <c r="F22" s="242">
        <f ca="1">'数据-取费表'!B40</f>
        <v>4.3499999999999997E-2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1359</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36</v>
      </c>
      <c r="D24" s="243"/>
      <c r="E24" s="243"/>
      <c r="F24" s="244"/>
      <c r="G24" s="245" t="s">
        <v>109</v>
      </c>
    </row>
    <row r="25" spans="1:7" s="219" customFormat="1" ht="24">
      <c r="A25" s="886" t="s">
        <v>793</v>
      </c>
      <c r="B25" s="220" t="s">
        <v>1026</v>
      </c>
      <c r="C25" s="1263">
        <f ca="1">ROUND(IF('数据-取费表'!B22&lt;=1,C20*F22*'数据-取费表'!B23/2,C20*(POWER((1+F22),'数据-取费表'!B23/2)-1)),0)</f>
        <v>17</v>
      </c>
      <c r="D25" s="243"/>
      <c r="E25" s="246"/>
      <c r="F25" s="244"/>
      <c r="G25" s="247" t="s">
        <v>110</v>
      </c>
    </row>
    <row r="26" spans="1:7" s="219" customFormat="1">
      <c r="A26" s="886" t="s">
        <v>795</v>
      </c>
      <c r="B26" s="220" t="s">
        <v>1028</v>
      </c>
      <c r="C26" s="243">
        <f ca="1">ROUND(IF('数据-取费表'!B22&lt;=1,F21*F22*'数据-取费表'!B23/2,F21*(POWER((1+F22),'数据-取费表'!B23/2)-1)),4)</f>
        <v>8.0000000000000004E-4</v>
      </c>
      <c r="D26" s="243"/>
      <c r="E26" s="246"/>
      <c r="F26" s="244"/>
      <c r="G26" s="248"/>
    </row>
    <row r="27" spans="1:7" s="219" customFormat="1" ht="24.75">
      <c r="A27" s="883" t="s">
        <v>787</v>
      </c>
      <c r="B27" s="249" t="s">
        <v>112</v>
      </c>
      <c r="C27" s="250">
        <f>C28</f>
        <v>3252</v>
      </c>
      <c r="D27" s="240">
        <f>C29</f>
        <v>3.8E-3</v>
      </c>
      <c r="E27" s="241" t="s">
        <v>126</v>
      </c>
      <c r="F27" s="251">
        <f>'数据-取费表'!Q16</f>
        <v>0.15</v>
      </c>
      <c r="G27" s="252" t="s">
        <v>1037</v>
      </c>
    </row>
    <row r="28" spans="1:7" s="219" customFormat="1" ht="13.5" customHeight="1">
      <c r="A28" s="886" t="s">
        <v>794</v>
      </c>
      <c r="B28" s="253" t="s">
        <v>1030</v>
      </c>
      <c r="C28" s="254">
        <f>ROUND((C5+C19+C20)*F27*'数据-取费表'!B21/'数据-取费表'!B20,0)</f>
        <v>3252</v>
      </c>
      <c r="D28" s="240"/>
      <c r="E28" s="241"/>
      <c r="F28" s="251"/>
      <c r="G28" s="252"/>
    </row>
    <row r="29" spans="1:7" s="219" customFormat="1" ht="13.5" customHeight="1">
      <c r="A29" s="886" t="s">
        <v>792</v>
      </c>
      <c r="B29" s="253" t="s">
        <v>1031</v>
      </c>
      <c r="C29" s="243">
        <f>ROUND(C21*F27*'数据-取费表'!B21/'数据-取费表'!B20,4)</f>
        <v>3.8E-3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28729</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9225</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8152</v>
      </c>
      <c r="D34" s="222"/>
      <c r="E34" s="225"/>
      <c r="F34" s="262">
        <f>IF('数据-取费表'!B24=0,1,'数据-取费表'!N16)</f>
        <v>1</v>
      </c>
      <c r="G34" s="224" t="s">
        <v>116</v>
      </c>
    </row>
    <row r="35" spans="1:7" ht="13.5" customHeight="1">
      <c r="A35" s="886" t="s">
        <v>796</v>
      </c>
      <c r="B35" s="220" t="s">
        <v>60</v>
      </c>
      <c r="C35" s="225">
        <f>ROUND(C34*F35,0)</f>
        <v>408</v>
      </c>
      <c r="D35" s="225"/>
      <c r="E35" s="225"/>
      <c r="F35" s="264">
        <f>'数据-取费表'!B33</f>
        <v>0.05</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6" t="s">
        <v>798</v>
      </c>
      <c r="B37" s="220" t="s">
        <v>118</v>
      </c>
      <c r="C37" s="254">
        <f>ROUND(E37*D37*F34/10000,0)</f>
        <v>543</v>
      </c>
      <c r="D37" s="222">
        <f>'数据-汇总表'!E3</f>
        <v>27173.91</v>
      </c>
      <c r="E37" s="254">
        <f>'数据-取费表'!B35</f>
        <v>200</v>
      </c>
      <c r="F37" s="264"/>
      <c r="G37" s="266" t="s">
        <v>119</v>
      </c>
    </row>
    <row r="38" spans="1:7" ht="13.5" customHeight="1">
      <c r="A38" s="886" t="s">
        <v>799</v>
      </c>
      <c r="B38" s="220" t="s">
        <v>63</v>
      </c>
      <c r="C38" s="225">
        <f>ROUND(C34*F38,0)</f>
        <v>122</v>
      </c>
      <c r="D38" s="225"/>
      <c r="E38" s="225"/>
      <c r="F38" s="264">
        <f>'数据-取费表'!B36</f>
        <v>1.4999999999999999E-2</v>
      </c>
      <c r="G38" s="224" t="s">
        <v>117</v>
      </c>
    </row>
    <row r="39" spans="1:7" s="219" customFormat="1" ht="13.5" customHeight="1">
      <c r="A39" s="883" t="s">
        <v>783</v>
      </c>
      <c r="B39" s="215" t="s">
        <v>104</v>
      </c>
      <c r="C39" s="237">
        <f>ROUND(C33*F20,0)</f>
        <v>231</v>
      </c>
      <c r="D39" s="237"/>
      <c r="E39" s="237"/>
      <c r="F39" s="238"/>
      <c r="G39" s="1197" t="s">
        <v>1039</v>
      </c>
    </row>
    <row r="40" spans="1:7" s="219" customFormat="1" ht="13.5" customHeight="1">
      <c r="A40" s="883" t="s">
        <v>784</v>
      </c>
      <c r="B40" s="215" t="s">
        <v>105</v>
      </c>
      <c r="C40" s="267">
        <f>F21</f>
        <v>2.5000000000000001E-2</v>
      </c>
      <c r="D40" s="241" t="s">
        <v>129</v>
      </c>
      <c r="E40" s="237"/>
      <c r="F40" s="238"/>
      <c r="G40" s="239" t="s">
        <v>120</v>
      </c>
    </row>
    <row r="41" spans="1:7" s="219" customFormat="1" ht="13.5" customHeight="1">
      <c r="A41" s="883" t="s">
        <v>785</v>
      </c>
      <c r="B41" s="215" t="s">
        <v>107</v>
      </c>
      <c r="C41" s="237">
        <f ca="1">ROUND(SUM(C42:C43),0)</f>
        <v>306</v>
      </c>
      <c r="D41" s="240">
        <f ca="1">C44</f>
        <v>8.0000000000000004E-4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299</v>
      </c>
      <c r="D42" s="243"/>
      <c r="E42" s="243"/>
      <c r="F42" s="244"/>
      <c r="G42" s="3255" t="s">
        <v>121</v>
      </c>
    </row>
    <row r="43" spans="1:7" ht="13.5" customHeight="1">
      <c r="A43" s="886" t="s">
        <v>792</v>
      </c>
      <c r="B43" s="220" t="s">
        <v>1032</v>
      </c>
      <c r="C43" s="243">
        <f ca="1">ROUND(IF('数据-取费表'!B22&lt;=1,C39*F22*'数据-取费表'!B21/2,C39*(POWER((1+F22),'数据-取费表'!B21/2)-1)),0)</f>
        <v>7</v>
      </c>
      <c r="D43" s="243"/>
      <c r="E43" s="243"/>
      <c r="F43" s="244"/>
      <c r="G43" s="3256"/>
    </row>
    <row r="44" spans="1:7" ht="13.5" customHeight="1">
      <c r="A44" s="886" t="s">
        <v>793</v>
      </c>
      <c r="B44" s="220" t="s">
        <v>1034</v>
      </c>
      <c r="C44" s="243">
        <f ca="1">ROUND(IF('数据-取费表'!B22&lt;=1,C40*F22*'数据-取费表'!B21/2,C40*(POWER((1+F22),'数据-取费表'!B21/2)-1)),4)</f>
        <v>8.0000000000000004E-4</v>
      </c>
      <c r="D44" s="243"/>
      <c r="E44" s="243"/>
      <c r="F44" s="244"/>
      <c r="G44" s="3257"/>
    </row>
    <row r="45" spans="1:7" s="219" customFormat="1" ht="13.5" customHeight="1">
      <c r="A45" s="883" t="s">
        <v>786</v>
      </c>
      <c r="B45" s="249" t="s">
        <v>112</v>
      </c>
      <c r="C45" s="250">
        <f>C46</f>
        <v>1418</v>
      </c>
      <c r="D45" s="240">
        <f>C47</f>
        <v>3.8E-3</v>
      </c>
      <c r="E45" s="241" t="s">
        <v>129</v>
      </c>
      <c r="F45" s="251"/>
      <c r="G45" s="252" t="s">
        <v>1040</v>
      </c>
    </row>
    <row r="46" spans="1:7" s="219" customFormat="1" ht="13.5" customHeight="1">
      <c r="A46" s="886" t="s">
        <v>794</v>
      </c>
      <c r="B46" s="253" t="s">
        <v>1033</v>
      </c>
      <c r="C46" s="254">
        <f>ROUND((C33+C39)*F27,0)</f>
        <v>1418</v>
      </c>
      <c r="D46" s="268"/>
      <c r="E46" s="241"/>
      <c r="F46" s="251"/>
      <c r="G46" s="252"/>
    </row>
    <row r="47" spans="1:7" s="219" customFormat="1" ht="13.5" customHeight="1">
      <c r="A47" s="886" t="s">
        <v>792</v>
      </c>
      <c r="B47" s="253" t="s">
        <v>1035</v>
      </c>
      <c r="C47" s="243">
        <f>ROUND(C40*F27,4)</f>
        <v>3.8E-3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12191</v>
      </c>
      <c r="D49" s="237"/>
      <c r="E49" s="237"/>
      <c r="F49" s="269"/>
      <c r="G49" s="239" t="s">
        <v>1041</v>
      </c>
    </row>
    <row r="50" spans="1:7" s="263" customFormat="1" ht="24">
      <c r="A50" s="883" t="s">
        <v>789</v>
      </c>
      <c r="B50" s="215" t="s">
        <v>124</v>
      </c>
      <c r="C50" s="237"/>
      <c r="D50" s="237"/>
      <c r="E50" s="237"/>
      <c r="F50" s="269">
        <f>IF('数据-取费表'!B24=0,'数据-取费表'!N16,1)</f>
        <v>0.85</v>
      </c>
      <c r="G50" s="252" t="s">
        <v>125</v>
      </c>
    </row>
    <row r="51" spans="1:7" ht="16.5" customHeight="1">
      <c r="A51" s="883" t="s">
        <v>790</v>
      </c>
      <c r="B51" s="215" t="s">
        <v>132</v>
      </c>
      <c r="C51" s="237">
        <f ca="1">ROUND(C49*F50,0)</f>
        <v>10362</v>
      </c>
      <c r="D51" s="237"/>
      <c r="E51" s="237"/>
      <c r="F51" s="269"/>
      <c r="G51" s="239" t="s">
        <v>64</v>
      </c>
    </row>
    <row r="52" spans="1:7" s="213" customFormat="1" ht="16.5" thickBot="1">
      <c r="A52" s="270" t="s">
        <v>65</v>
      </c>
      <c r="B52" s="271"/>
      <c r="C52" s="272">
        <f ca="1">C31+C51</f>
        <v>39091</v>
      </c>
      <c r="D52" s="271"/>
      <c r="E52" s="271"/>
      <c r="F52" s="271"/>
      <c r="G52" s="273"/>
    </row>
    <row r="55" spans="1:7" ht="15">
      <c r="B55" s="275" t="s">
        <v>66</v>
      </c>
      <c r="C55" s="276"/>
    </row>
    <row r="56" spans="1:7">
      <c r="B56" s="278" t="s">
        <v>67</v>
      </c>
      <c r="C56" s="279">
        <f ca="1">ROUND(C51/C52,3)</f>
        <v>0.26500000000000001</v>
      </c>
    </row>
    <row r="57" spans="1:7">
      <c r="B57" s="278" t="s">
        <v>68</v>
      </c>
      <c r="C57" s="280">
        <f ca="1">1-C56</f>
        <v>0.73499999999999999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03" t="s">
        <v>156</v>
      </c>
      <c r="B1" s="3403"/>
      <c r="C1" s="3403"/>
      <c r="D1" s="3403"/>
      <c r="E1" s="3403"/>
      <c r="F1" s="340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04" t="s">
        <v>169</v>
      </c>
      <c r="B2" s="3404"/>
      <c r="C2" s="3404"/>
      <c r="D2" s="3404"/>
      <c r="E2" s="3404"/>
      <c r="F2" s="340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0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0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03" t="s">
        <v>839</v>
      </c>
      <c r="B1" s="3403"/>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44544</v>
      </c>
      <c r="D1" s="1468" t="s">
        <v>1268</v>
      </c>
      <c r="E1" s="1463">
        <f>'数据-取费表'!B22</f>
        <v>1.5</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3051</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1606</v>
      </c>
      <c r="B2" s="3078" t="s">
        <v>1607</v>
      </c>
      <c r="C2" s="3078" t="s">
        <v>1608</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9"/>
      <c r="B3" s="3079"/>
      <c r="C3" s="3079"/>
      <c r="D3" s="961" t="s">
        <v>1603</v>
      </c>
      <c r="E3" s="961" t="s">
        <v>1609</v>
      </c>
      <c r="F3" s="961" t="s">
        <v>1603</v>
      </c>
      <c r="G3" s="961" t="s">
        <v>1604</v>
      </c>
      <c r="H3" s="961" t="s">
        <v>1603</v>
      </c>
      <c r="I3" s="961" t="s">
        <v>1604</v>
      </c>
    </row>
    <row r="4" spans="1:9" ht="15">
      <c r="A4" s="1688" t="str">
        <f>项目基本情况!S2</f>
        <v>房地产</v>
      </c>
      <c r="B4" s="961">
        <f>项目基本情况!C17</f>
        <v>27173.91</v>
      </c>
      <c r="C4" s="961">
        <f>项目基本情况!C18</f>
        <v>16322</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079" t="s">
        <v>1605</v>
      </c>
      <c r="B5" s="3079"/>
      <c r="C5" s="3079"/>
      <c r="D5" s="3080" t="e">
        <f ca="1">结果表!D119</f>
        <v>#REF!</v>
      </c>
      <c r="E5" s="3080"/>
      <c r="F5" s="3080" t="e">
        <f ca="1">结果表!F119</f>
        <v>#REF!</v>
      </c>
      <c r="G5" s="3080"/>
      <c r="H5" s="3080" t="e">
        <f ca="1">结果表!H119</f>
        <v>#REF!</v>
      </c>
      <c r="I5" s="3080"/>
    </row>
    <row r="6" spans="1:9" ht="15.75">
      <c r="A6" s="3081" t="str">
        <f>结果表!A120</f>
        <v>估价师知悉的法定优先受偿款</v>
      </c>
      <c r="B6" s="3081"/>
      <c r="C6" s="3081"/>
      <c r="D6" s="3081">
        <f>结果表!D120</f>
        <v>0</v>
      </c>
      <c r="E6" s="3081"/>
      <c r="F6" s="3081"/>
      <c r="G6" s="3081"/>
      <c r="H6" s="3081"/>
      <c r="I6" s="3081"/>
    </row>
    <row r="7" spans="1:9" ht="15">
      <c r="A7" s="3079" t="s">
        <v>1605</v>
      </c>
      <c r="B7" s="3079"/>
      <c r="C7" s="3079"/>
      <c r="D7" s="3082" t="str">
        <f>结果表!D121</f>
        <v>零元整</v>
      </c>
      <c r="E7" s="3083"/>
      <c r="F7" s="3083"/>
      <c r="G7" s="3083"/>
      <c r="H7" s="3083"/>
      <c r="I7" s="3084"/>
    </row>
    <row r="8" spans="1:9" ht="15.75">
      <c r="A8" s="3081" t="str">
        <f>结果表!A122</f>
        <v>房地产抵押价值</v>
      </c>
      <c r="B8" s="3081"/>
      <c r="C8" s="3081"/>
      <c r="D8" s="3081" t="e">
        <f ca="1">结果表!D122</f>
        <v>#REF!</v>
      </c>
      <c r="E8" s="3081"/>
      <c r="F8" s="3081"/>
      <c r="G8" s="3081"/>
      <c r="H8" s="3081"/>
      <c r="I8" s="3081"/>
    </row>
    <row r="9" spans="1:9" ht="15">
      <c r="A9" s="3079" t="s">
        <v>1605</v>
      </c>
      <c r="B9" s="3079"/>
      <c r="C9" s="3079"/>
      <c r="D9" s="3080" t="e">
        <f ca="1">结果表!D123</f>
        <v>#REF!</v>
      </c>
      <c r="E9" s="3080"/>
      <c r="F9" s="3080"/>
      <c r="G9" s="3080"/>
      <c r="H9" s="3080"/>
      <c r="I9" s="3080"/>
    </row>
    <row r="10" spans="1:9" ht="15.75">
      <c r="A10" s="3081" t="str">
        <f>结果表!A124</f>
        <v/>
      </c>
      <c r="B10" s="3081"/>
      <c r="C10" s="3081"/>
      <c r="D10" s="3081" t="str">
        <f>结果表!D124</f>
        <v>——</v>
      </c>
      <c r="E10" s="3081"/>
      <c r="F10" s="3081"/>
      <c r="G10" s="3081"/>
      <c r="H10" s="3081"/>
      <c r="I10" s="3081"/>
    </row>
    <row r="11" spans="1:9" ht="15">
      <c r="A11" s="3079" t="s">
        <v>1605</v>
      </c>
      <c r="B11" s="3079"/>
      <c r="C11" s="3079"/>
      <c r="D11" s="3080" t="e">
        <f>结果表!D125</f>
        <v>#VALUE!</v>
      </c>
      <c r="E11" s="3080"/>
      <c r="F11" s="3080"/>
      <c r="G11" s="3080"/>
      <c r="H11" s="3080"/>
      <c r="I11" s="3080"/>
    </row>
    <row r="12" spans="1:9" ht="15.75">
      <c r="A12" s="3081" t="str">
        <f>结果表!A126</f>
        <v/>
      </c>
      <c r="B12" s="3081"/>
      <c r="C12" s="3081"/>
      <c r="D12" s="3081" t="str">
        <f>结果表!D126</f>
        <v>——</v>
      </c>
      <c r="E12" s="3081"/>
      <c r="F12" s="3081"/>
      <c r="G12" s="3081"/>
      <c r="H12" s="3081"/>
      <c r="I12" s="3081"/>
    </row>
    <row r="13" spans="1:9" ht="15.75" thickBot="1">
      <c r="A13" s="3085" t="s">
        <v>1605</v>
      </c>
      <c r="B13" s="3085"/>
      <c r="C13" s="3085"/>
      <c r="D13" s="3086" t="e">
        <f>结果表!D127</f>
        <v>#VALUE!</v>
      </c>
      <c r="E13" s="3086"/>
      <c r="F13" s="3086"/>
      <c r="G13" s="3086"/>
      <c r="H13" s="3086"/>
      <c r="I13" s="3086"/>
    </row>
    <row r="14" spans="1:9" ht="15" thickTop="1">
      <c r="A14" s="3087" t="s">
        <v>1610</v>
      </c>
      <c r="B14" s="3087"/>
      <c r="C14" s="3087"/>
      <c r="D14" s="3087"/>
      <c r="E14" s="3087"/>
      <c r="F14" s="3087"/>
      <c r="G14" s="3087"/>
      <c r="H14" s="3087"/>
      <c r="I14" s="3087"/>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88" t="s">
        <v>1627</v>
      </c>
      <c r="B1" s="3088"/>
      <c r="C1" s="3088"/>
      <c r="D1" s="3088"/>
    </row>
    <row r="2" spans="1:4" ht="18">
      <c r="A2" s="3089" t="s">
        <v>1611</v>
      </c>
      <c r="B2" s="3089"/>
      <c r="C2" s="3089"/>
      <c r="D2" s="3089"/>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089" t="s">
        <v>1617</v>
      </c>
      <c r="B6" s="3089"/>
      <c r="C6" s="3089"/>
      <c r="D6" s="3089"/>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090" t="s">
        <v>1620</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2"/>
      <c r="C12" s="3092"/>
      <c r="D12" s="3092"/>
    </row>
    <row r="13" spans="1:4" ht="30" customHeight="1">
      <c r="A13" s="3091" t="str">
        <f>IF(项目基本情况!B8="抵押","3.抵押双方在办理抵押登记手续时，应使用本公司出具的正式《房地产评估报告》，特提醒报告使用者注意。","——")</f>
        <v>——</v>
      </c>
      <c r="B13" s="3092"/>
      <c r="C13" s="3092"/>
      <c r="D13" s="3092"/>
    </row>
    <row r="14" spans="1:4" ht="15.75" customHeight="1">
      <c r="A14" s="3091" t="str">
        <f>IF(项目基本情况!B8="抵押","4.本次评估估价师所知悉的法定优先受偿款情况说明如下：","——")</f>
        <v>——</v>
      </c>
      <c r="B14" s="3092"/>
      <c r="C14" s="3092"/>
      <c r="D14" s="3092"/>
    </row>
    <row r="15" spans="1:4" ht="42" customHeight="1">
      <c r="A15" s="3091" t="str">
        <f>IF(项目基本情况!B8="抵押","（1）"&amp;CONCATENATE(项目基本情况!L20,项目基本情况!L21,项目基本情况!L22),"——")</f>
        <v>——</v>
      </c>
      <c r="B15" s="3091"/>
      <c r="C15" s="3091"/>
      <c r="D15" s="3091"/>
    </row>
    <row r="16" spans="1:4" ht="30" customHeight="1">
      <c r="A16" s="3094" t="s">
        <v>1621</v>
      </c>
      <c r="B16" s="3094"/>
      <c r="C16" s="3094"/>
      <c r="D16" s="3094"/>
    </row>
    <row r="17" spans="1:4" ht="144" customHeight="1">
      <c r="A17" s="3094" t="s">
        <v>1622</v>
      </c>
      <c r="B17" s="3094"/>
      <c r="C17" s="3094"/>
      <c r="D17" s="3094"/>
    </row>
    <row r="18" spans="1:4" ht="15.75" customHeight="1">
      <c r="A18" s="3091" t="str">
        <f>IF(项目基本情况!B8="抵押",结果表!K120,"——")</f>
        <v>——</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5"/>
      <c r="C21" s="3095"/>
      <c r="D21" s="3095"/>
    </row>
    <row r="22" spans="1:4" ht="18.75" customHeight="1">
      <c r="A22" s="3096" t="s">
        <v>1623</v>
      </c>
      <c r="B22" s="3096"/>
      <c r="C22" s="3096"/>
      <c r="D22" s="3096"/>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93">
        <v>42551</v>
      </c>
      <c r="D31" s="30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02" t="s">
        <v>1634</v>
      </c>
      <c r="B15" s="3097" t="s">
        <v>136</v>
      </c>
      <c r="C15" s="3098"/>
    </row>
    <row r="16" spans="1:7" ht="13.5">
      <c r="A16" s="3103"/>
      <c r="B16" s="3097" t="s">
        <v>69</v>
      </c>
      <c r="C16" s="3098"/>
    </row>
    <row r="17" spans="1:3" ht="13.5">
      <c r="A17" s="3103"/>
      <c r="B17" s="3100" t="s">
        <v>1635</v>
      </c>
      <c r="C17" s="1715" t="s">
        <v>1634</v>
      </c>
    </row>
    <row r="18" spans="1:3" ht="13.5">
      <c r="A18" s="3103"/>
      <c r="B18" s="3100"/>
      <c r="C18" s="1715" t="s">
        <v>1636</v>
      </c>
    </row>
    <row r="19" spans="1:3" ht="13.5">
      <c r="A19" s="3103"/>
      <c r="B19" s="3100"/>
      <c r="C19" s="1715" t="s">
        <v>1637</v>
      </c>
    </row>
    <row r="20" spans="1:3" ht="13.5">
      <c r="A20" s="3104"/>
      <c r="B20" s="3099" t="s">
        <v>1638</v>
      </c>
      <c r="C20" s="3098"/>
    </row>
    <row r="21" spans="1:3" ht="13.5">
      <c r="A21" s="1716" t="s">
        <v>1639</v>
      </c>
      <c r="B21" s="1717"/>
      <c r="C21" s="1718"/>
    </row>
    <row r="22" spans="1:3" ht="13.5">
      <c r="A22" s="3101" t="s">
        <v>1640</v>
      </c>
      <c r="B22" s="3099" t="s">
        <v>1641</v>
      </c>
      <c r="C22" s="3098"/>
    </row>
    <row r="23" spans="1:3" ht="13.5">
      <c r="A23" s="3101"/>
      <c r="B23" s="3099" t="s">
        <v>1642</v>
      </c>
      <c r="C23" s="3098"/>
    </row>
    <row r="24" spans="1:3" ht="13.5">
      <c r="A24" s="3101"/>
      <c r="B24" s="3099" t="s">
        <v>1643</v>
      </c>
      <c r="C24" s="3098"/>
    </row>
    <row r="25" spans="1:3" ht="13.5">
      <c r="A25" s="3101"/>
      <c r="B25" s="3100" t="s">
        <v>1644</v>
      </c>
      <c r="C25" s="1715" t="s">
        <v>1645</v>
      </c>
    </row>
    <row r="26" spans="1:3" ht="13.5">
      <c r="A26" s="3101"/>
      <c r="B26" s="3100"/>
      <c r="C26" s="1715" t="s">
        <v>1646</v>
      </c>
    </row>
    <row r="27" spans="1:3" ht="13.5">
      <c r="A27" s="3101"/>
      <c r="B27" s="3100"/>
      <c r="C27" s="1715" t="s">
        <v>1647</v>
      </c>
    </row>
    <row r="28" spans="1:3" ht="13.5">
      <c r="A28" s="3101"/>
      <c r="B28" s="3100"/>
      <c r="C28" s="1715" t="s">
        <v>1648</v>
      </c>
    </row>
    <row r="29" spans="1:3" ht="13.5">
      <c r="A29" s="3101"/>
      <c r="B29" s="3100"/>
      <c r="C29" s="1715" t="s">
        <v>1649</v>
      </c>
    </row>
    <row r="30" spans="1:3" ht="13.5">
      <c r="A30" s="3101"/>
      <c r="B30" s="3100"/>
      <c r="C30" s="1715" t="s">
        <v>1650</v>
      </c>
    </row>
    <row r="31" spans="1:3" ht="13.5">
      <c r="A31" s="3101"/>
      <c r="B31" s="3100"/>
      <c r="C31" s="1715" t="s">
        <v>1651</v>
      </c>
    </row>
    <row r="32" spans="1:3" ht="13.5">
      <c r="A32" s="3101"/>
      <c r="B32" s="3100"/>
      <c r="C32" s="1715" t="s">
        <v>1652</v>
      </c>
    </row>
    <row r="33" spans="1:3" ht="13.5">
      <c r="A33" s="3101"/>
      <c r="B33" s="3100"/>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2881</v>
      </c>
      <c r="B2" s="2560">
        <f ca="1">TODAY()</f>
        <v>44627</v>
      </c>
      <c r="C2" s="2561" t="s">
        <v>2882</v>
      </c>
      <c r="D2" s="2561"/>
      <c r="E2" s="2561"/>
      <c r="F2" s="2557"/>
      <c r="G2" s="2557"/>
      <c r="H2" s="2557"/>
    </row>
    <row r="3" spans="1:8" ht="24" customHeight="1">
      <c r="A3" s="2562" t="s">
        <v>2883</v>
      </c>
      <c r="B3" s="2563" t="s">
        <v>2884</v>
      </c>
      <c r="C3" s="2563" t="s">
        <v>2885</v>
      </c>
      <c r="D3" s="2564" t="s">
        <v>2886</v>
      </c>
      <c r="E3" s="2565" t="s">
        <v>2887</v>
      </c>
      <c r="F3" s="1470" t="s">
        <v>2888</v>
      </c>
      <c r="G3" s="2563" t="s">
        <v>2885</v>
      </c>
      <c r="H3" s="2564" t="s">
        <v>2889</v>
      </c>
    </row>
    <row r="4" spans="1:8" ht="24" customHeight="1">
      <c r="A4" s="1470" t="s">
        <v>2890</v>
      </c>
      <c r="B4" s="1470">
        <f ca="1">IF(C4&lt;B2,"已过期",1119970066)</f>
        <v>1119970066</v>
      </c>
      <c r="C4" s="2566">
        <v>44876</v>
      </c>
      <c r="D4" s="2567" t="str">
        <f ca="1">A4&amp;"（注册号："&amp;B4&amp;"）"</f>
        <v>梁津（注册号：1119970066）</v>
      </c>
      <c r="E4" s="2568" t="s">
        <v>2890</v>
      </c>
      <c r="F4" s="1470">
        <f ca="1">IF(G4&lt;B2,"已过期",96010014)</f>
        <v>96010014</v>
      </c>
      <c r="G4" s="2569">
        <v>47118</v>
      </c>
      <c r="H4" s="2570" t="str">
        <f ca="1">E4&amp;"（注册号："&amp;F4&amp;"）"</f>
        <v>梁津（注册号：96010014）</v>
      </c>
    </row>
    <row r="5" spans="1:8" ht="24" customHeight="1">
      <c r="A5" s="1470" t="s">
        <v>2891</v>
      </c>
      <c r="B5" s="1470">
        <f ca="1">IF(C5&lt;B2,"已过期",1119970111)</f>
        <v>1119970111</v>
      </c>
      <c r="C5" s="2566">
        <v>44876</v>
      </c>
      <c r="D5" s="2567" t="str">
        <f t="shared" ref="D5:D15" ca="1" si="0">A5&amp;"（注册号："&amp;B5&amp;"）"</f>
        <v>叶凌（注册号：1119970111）</v>
      </c>
      <c r="E5" s="2568" t="s">
        <v>2891</v>
      </c>
      <c r="F5" s="1470">
        <f ca="1">IF(G5&lt;B2,"已过期",94010078)</f>
        <v>94010078</v>
      </c>
      <c r="G5" s="2569">
        <v>46387</v>
      </c>
      <c r="H5" s="2570" t="str">
        <f t="shared" ref="H5:H16" ca="1" si="1">E5&amp;"（注册号："&amp;F5&amp;"）"</f>
        <v>叶凌（注册号：94010078）</v>
      </c>
    </row>
    <row r="6" spans="1:8" ht="24" customHeight="1">
      <c r="A6" s="1470" t="s">
        <v>2892</v>
      </c>
      <c r="B6" s="1470" t="str">
        <f ca="1">IF(C6&lt;B2,"已过期",1120050019)</f>
        <v>已过期</v>
      </c>
      <c r="C6" s="2566">
        <v>44395</v>
      </c>
      <c r="D6" s="2567" t="str">
        <f t="shared" ca="1" si="0"/>
        <v>王鹏（注册号：已过期）</v>
      </c>
      <c r="E6" s="2568" t="s">
        <v>2892</v>
      </c>
      <c r="F6" s="1470">
        <f ca="1">IF(G6&lt;B2,"已过期",2002110030)</f>
        <v>2002110030</v>
      </c>
      <c r="G6" s="2569">
        <v>46387</v>
      </c>
      <c r="H6" s="2570" t="str">
        <f t="shared" ca="1" si="1"/>
        <v>王鹏（注册号：2002110030）</v>
      </c>
    </row>
    <row r="7" spans="1:8" ht="24" customHeight="1">
      <c r="A7" s="1470" t="s">
        <v>2893</v>
      </c>
      <c r="B7" s="1470">
        <f ca="1">IF(C7&lt;B2,"已过期",1120000080)</f>
        <v>1120000080</v>
      </c>
      <c r="C7" s="2566">
        <v>44876</v>
      </c>
      <c r="D7" s="2567" t="str">
        <f t="shared" ca="1" si="0"/>
        <v>欧红伟（注册号：1120000080）</v>
      </c>
      <c r="E7" s="2568" t="s">
        <v>2893</v>
      </c>
      <c r="F7" s="1470">
        <f ca="1">IF(G7&lt;B2,"已过期",2000110082)</f>
        <v>2000110082</v>
      </c>
      <c r="G7" s="2569">
        <v>46387</v>
      </c>
      <c r="H7" s="2570" t="str">
        <f t="shared" ca="1" si="1"/>
        <v>欧红伟（注册号：2000110082）</v>
      </c>
    </row>
    <row r="8" spans="1:8" ht="24" customHeight="1">
      <c r="A8" s="1470" t="s">
        <v>2894</v>
      </c>
      <c r="B8" s="1470">
        <f ca="1">IF(C8&lt;B2,"已过期",1419970001)</f>
        <v>1419970001</v>
      </c>
      <c r="C8" s="2566">
        <v>44899</v>
      </c>
      <c r="D8" s="2567" t="str">
        <f t="shared" ca="1" si="0"/>
        <v>吴薇（注册号：1419970001）</v>
      </c>
      <c r="E8" s="2568" t="s">
        <v>2894</v>
      </c>
      <c r="F8" s="1470">
        <f ca="1">IF(G8&lt;B2,"已过期",2002110125)</f>
        <v>2002110125</v>
      </c>
      <c r="G8" s="2569">
        <v>47118</v>
      </c>
      <c r="H8" s="2570" t="str">
        <f t="shared" ca="1" si="1"/>
        <v>吴薇（注册号：2002110125）</v>
      </c>
    </row>
    <row r="9" spans="1:8" ht="24" customHeight="1">
      <c r="A9" s="1470" t="s">
        <v>2895</v>
      </c>
      <c r="B9" s="1470" t="str">
        <f ca="1">IF(C9&lt;B2,"已过期",1120060040)</f>
        <v>已过期</v>
      </c>
      <c r="C9" s="2571">
        <v>44554</v>
      </c>
      <c r="D9" s="2567" t="str">
        <f t="shared" ca="1" si="0"/>
        <v>陈颖（注册号：已过期）</v>
      </c>
      <c r="E9" s="2568" t="s">
        <v>2895</v>
      </c>
      <c r="F9" s="1470">
        <f ca="1">IF(G9&lt;B2,"已过期",2004110096)</f>
        <v>2004110096</v>
      </c>
      <c r="G9" s="2569">
        <v>47118</v>
      </c>
      <c r="H9" s="2570" t="str">
        <f t="shared" ca="1" si="1"/>
        <v>陈颖（注册号：2004110096）</v>
      </c>
    </row>
    <row r="10" spans="1:8" ht="24" customHeight="1">
      <c r="A10" s="1470" t="s">
        <v>2896</v>
      </c>
      <c r="B10" s="1470">
        <f ca="1">IF(C10&lt;B2,"已过期",1120100036)</f>
        <v>1120100036</v>
      </c>
      <c r="C10" s="2571">
        <v>44675</v>
      </c>
      <c r="D10" s="2567" t="str">
        <f t="shared" ca="1" si="0"/>
        <v>崔锴（注册号：1120100036）</v>
      </c>
      <c r="E10" s="2568" t="s">
        <v>2896</v>
      </c>
      <c r="F10" s="1470">
        <f ca="1">IF(G10&lt;B2,"已过期",2010110070)</f>
        <v>2010110070</v>
      </c>
      <c r="G10" s="2569">
        <v>47907</v>
      </c>
      <c r="H10" s="2570" t="str">
        <f t="shared" ca="1" si="1"/>
        <v>崔锴（注册号：2010110070）</v>
      </c>
    </row>
    <row r="11" spans="1:8" ht="24" customHeight="1">
      <c r="A11" s="1470" t="s">
        <v>2897</v>
      </c>
      <c r="B11" s="1470">
        <f ca="1">IF(C11&lt;B2,"已过期",1120070131)</f>
        <v>1120070131</v>
      </c>
      <c r="C11" s="2566">
        <v>44849</v>
      </c>
      <c r="D11" s="2567" t="str">
        <f t="shared" ca="1" si="0"/>
        <v>郑燚（注册号：1120070131）</v>
      </c>
      <c r="E11" s="2568" t="s">
        <v>2897</v>
      </c>
      <c r="F11" s="1470">
        <f ca="1">IF(G11&lt;B2,"已过期",2014110011)</f>
        <v>2014110011</v>
      </c>
      <c r="G11" s="2569">
        <v>49302</v>
      </c>
      <c r="H11" s="2570" t="str">
        <f t="shared" ca="1" si="1"/>
        <v>郑燚（注册号：2014110011）</v>
      </c>
    </row>
    <row r="12" spans="1:8" ht="24" customHeight="1">
      <c r="A12" s="1470" t="s">
        <v>2898</v>
      </c>
      <c r="B12" s="1470">
        <f ca="1">IF(C12&lt;B2,"已过期",1120040230)</f>
        <v>1120040230</v>
      </c>
      <c r="C12" s="2571">
        <v>44864</v>
      </c>
      <c r="D12" s="2567" t="str">
        <f t="shared" ca="1" si="0"/>
        <v>苏海（注册号：1120040230）</v>
      </c>
      <c r="E12" s="2568" t="s">
        <v>2898</v>
      </c>
      <c r="F12" s="1470">
        <f ca="1">IF(G12&lt;B2,"已过期",98030020)</f>
        <v>98030020</v>
      </c>
      <c r="G12" s="2569">
        <v>47118</v>
      </c>
      <c r="H12" s="2570" t="str">
        <f t="shared" ca="1" si="1"/>
        <v>苏海（注册号：98030020）</v>
      </c>
    </row>
    <row r="13" spans="1:8" ht="24" customHeight="1">
      <c r="A13" s="1470" t="s">
        <v>2899</v>
      </c>
      <c r="B13" s="1470" t="str">
        <f ca="1">IF(C13&lt;B2,"已过期",1120020033)</f>
        <v>已过期</v>
      </c>
      <c r="C13" s="2566">
        <v>44339</v>
      </c>
      <c r="D13" s="2567" t="str">
        <f t="shared" ca="1" si="0"/>
        <v>刘敬东（注册号：已过期）</v>
      </c>
      <c r="E13" s="2568" t="s">
        <v>2899</v>
      </c>
      <c r="F13" s="1470">
        <f ca="1">IF(G13&lt;B2,"已过期",2000110137)</f>
        <v>2000110137</v>
      </c>
      <c r="G13" s="2569">
        <v>46387</v>
      </c>
      <c r="H13" s="2570" t="str">
        <f t="shared" ca="1" si="1"/>
        <v>刘敬东（注册号：2000110137）</v>
      </c>
    </row>
    <row r="14" spans="1:8" ht="24" customHeight="1">
      <c r="A14" s="1470" t="s">
        <v>2900</v>
      </c>
      <c r="B14" s="1470">
        <f ca="1">IF(C14&lt;B2,"已过期",1119980106)</f>
        <v>1119980106</v>
      </c>
      <c r="C14" s="2571">
        <v>44969</v>
      </c>
      <c r="D14" s="2567" t="str">
        <f t="shared" ca="1" si="0"/>
        <v>刘俊财（注册号：1119980106）</v>
      </c>
      <c r="E14" s="2568" t="s">
        <v>2900</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2901</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05" t="s">
        <v>2902</v>
      </c>
      <c r="B17" s="3105"/>
      <c r="C17" s="3105"/>
      <c r="D17" s="3105"/>
      <c r="E17" s="3105"/>
      <c r="F17" s="3105"/>
      <c r="G17" s="3105"/>
      <c r="H17" s="3105"/>
    </row>
    <row r="18" spans="1:8" ht="24" customHeight="1">
      <c r="A18" s="3106" t="s">
        <v>2903</v>
      </c>
      <c r="B18" s="3106"/>
      <c r="C18" s="3106"/>
      <c r="D18" s="2564"/>
      <c r="E18" s="3107" t="s">
        <v>2904</v>
      </c>
      <c r="F18" s="3106"/>
      <c r="G18" s="3106"/>
    </row>
    <row r="19" spans="1:8" s="2575" customFormat="1" ht="24" customHeight="1">
      <c r="A19" s="2574" t="s">
        <v>2905</v>
      </c>
      <c r="B19" s="2563" t="s">
        <v>2906</v>
      </c>
      <c r="C19" s="2563" t="s">
        <v>2885</v>
      </c>
      <c r="D19" s="2564"/>
      <c r="E19" s="2568" t="s">
        <v>2905</v>
      </c>
      <c r="F19" s="2563" t="s">
        <v>2906</v>
      </c>
      <c r="G19" s="2563" t="s">
        <v>2885</v>
      </c>
    </row>
    <row r="20" spans="1:8" s="2575" customFormat="1" ht="24" customHeight="1">
      <c r="A20" s="2576" t="s">
        <v>2907</v>
      </c>
      <c r="B20" s="2576" t="s">
        <v>2908</v>
      </c>
      <c r="C20" s="2569">
        <v>44820</v>
      </c>
      <c r="D20" s="2577"/>
      <c r="E20" s="2578" t="s">
        <v>2909</v>
      </c>
      <c r="F20" s="2576" t="s">
        <v>2910</v>
      </c>
      <c r="G20" s="2579">
        <v>44377</v>
      </c>
    </row>
    <row r="21" spans="1:8" s="2575" customFormat="1" ht="24" customHeight="1">
      <c r="A21" s="2576"/>
      <c r="B21" s="2576"/>
      <c r="C21" s="2580"/>
      <c r="D21" s="2581"/>
      <c r="E21" s="2578" t="s">
        <v>2911</v>
      </c>
      <c r="F21" s="2582" t="s">
        <v>2912</v>
      </c>
      <c r="G21" s="2583">
        <v>44012</v>
      </c>
    </row>
    <row r="22" spans="1:8" ht="24" customHeight="1">
      <c r="C22" s="2584"/>
      <c r="D22" s="2584"/>
      <c r="E22" s="2585"/>
      <c r="F22" s="2586"/>
      <c r="G22" s="2587"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收益法（汇总）</vt:lpstr>
      <vt:lpstr>酒店收入计算</vt:lpstr>
      <vt:lpstr>比较法-住宅</vt:lpstr>
      <vt:lpstr>比较法-商业</vt:lpstr>
      <vt:lpstr>收益法 (元)</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2022-03-07T08:12:21Z</dcterms:modified>
</cp:coreProperties>
</file>